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djcaldwell/Documents/BOOSTER CLUB/Financials/"/>
    </mc:Choice>
  </mc:AlternateContent>
  <xr:revisionPtr revIDLastSave="0" documentId="13_ncr:1_{A2EB2509-1AEC-D84C-BD84-3BFE0466B03C}" xr6:coauthVersionLast="47" xr6:coauthVersionMax="47" xr10:uidLastSave="{00000000-0000-0000-0000-000000000000}"/>
  <bookViews>
    <workbookView xWindow="28800" yWindow="-680" windowWidth="38400" windowHeight="21600" xr2:uid="{00000000-000D-0000-FFFF-FFFF00000000}"/>
  </bookViews>
  <sheets>
    <sheet name="23-24 Budget" sheetId="2" r:id="rId1"/>
    <sheet name="23-24 Acutals" sheetId="5" r:id="rId2"/>
    <sheet name="22-23 Actuals" sheetId="8" r:id="rId3"/>
    <sheet name="Comparison" sheetId="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5" l="1"/>
  <c r="P47" i="8"/>
  <c r="M47" i="8"/>
  <c r="K47" i="8"/>
  <c r="I47" i="8"/>
  <c r="H47" i="8"/>
  <c r="G47" i="8"/>
  <c r="E47" i="8"/>
  <c r="D47" i="8"/>
  <c r="C47" i="8"/>
  <c r="Q46" i="8"/>
  <c r="R46" i="8" s="1"/>
  <c r="O46" i="8"/>
  <c r="O47" i="8" s="1"/>
  <c r="N46" i="8"/>
  <c r="M46" i="8"/>
  <c r="L46" i="8"/>
  <c r="L47" i="8" s="1"/>
  <c r="I46" i="8"/>
  <c r="H46" i="8"/>
  <c r="J46" i="8" s="1"/>
  <c r="F46" i="8"/>
  <c r="R45" i="8"/>
  <c r="N45" i="8"/>
  <c r="J45" i="8"/>
  <c r="C45" i="8"/>
  <c r="F45" i="8" s="1"/>
  <c r="F47" i="8" s="1"/>
  <c r="R44" i="8"/>
  <c r="N44" i="8"/>
  <c r="J44" i="8"/>
  <c r="F44" i="8"/>
  <c r="R43" i="8"/>
  <c r="N43" i="8"/>
  <c r="N47" i="8" s="1"/>
  <c r="J43" i="8"/>
  <c r="F43" i="8"/>
  <c r="O41" i="8"/>
  <c r="D41" i="8"/>
  <c r="R40" i="8"/>
  <c r="N40" i="8"/>
  <c r="J40" i="8"/>
  <c r="E40" i="8"/>
  <c r="F40" i="8" s="1"/>
  <c r="R39" i="8"/>
  <c r="N39" i="8"/>
  <c r="J39" i="8"/>
  <c r="F39" i="8"/>
  <c r="R38" i="8"/>
  <c r="N38" i="8"/>
  <c r="J38" i="8"/>
  <c r="F38" i="8"/>
  <c r="R37" i="8"/>
  <c r="K37" i="8"/>
  <c r="N37" i="8" s="1"/>
  <c r="G37" i="8"/>
  <c r="J37" i="8" s="1"/>
  <c r="D37" i="8"/>
  <c r="C37" i="8"/>
  <c r="F37" i="8" s="1"/>
  <c r="Q36" i="8"/>
  <c r="R36" i="8" s="1"/>
  <c r="P36" i="8"/>
  <c r="N36" i="8"/>
  <c r="G36" i="8"/>
  <c r="J36" i="8" s="1"/>
  <c r="C36" i="8"/>
  <c r="F36" i="8" s="1"/>
  <c r="R35" i="8"/>
  <c r="N35" i="8"/>
  <c r="J35" i="8"/>
  <c r="F35" i="8"/>
  <c r="P34" i="8"/>
  <c r="P41" i="8" s="1"/>
  <c r="M34" i="8"/>
  <c r="M41" i="8" s="1"/>
  <c r="L34" i="8"/>
  <c r="L41" i="8" s="1"/>
  <c r="L49" i="8" s="1"/>
  <c r="K34" i="8"/>
  <c r="K41" i="8" s="1"/>
  <c r="K49" i="8" s="1"/>
  <c r="I34" i="8"/>
  <c r="I41" i="8" s="1"/>
  <c r="H34" i="8"/>
  <c r="H41" i="8" s="1"/>
  <c r="G34" i="8"/>
  <c r="J34" i="8" s="1"/>
  <c r="E34" i="8"/>
  <c r="F34" i="8" s="1"/>
  <c r="D34" i="8"/>
  <c r="R33" i="8"/>
  <c r="P32" i="8"/>
  <c r="O32" i="8"/>
  <c r="L32" i="8"/>
  <c r="K32" i="8"/>
  <c r="I32" i="8"/>
  <c r="I49" i="8" s="1"/>
  <c r="I51" i="8" s="1"/>
  <c r="H32" i="8"/>
  <c r="H49" i="8" s="1"/>
  <c r="G32" i="8"/>
  <c r="E32" i="8"/>
  <c r="D32" i="8"/>
  <c r="D49" i="8" s="1"/>
  <c r="C32" i="8"/>
  <c r="R31" i="8"/>
  <c r="N31" i="8"/>
  <c r="J31" i="8"/>
  <c r="F31" i="8"/>
  <c r="R30" i="8"/>
  <c r="N30" i="8"/>
  <c r="J30" i="8"/>
  <c r="F30" i="8"/>
  <c r="R29" i="8"/>
  <c r="N29" i="8"/>
  <c r="J29" i="8"/>
  <c r="F29" i="8"/>
  <c r="R28" i="8"/>
  <c r="N28" i="8"/>
  <c r="J28" i="8"/>
  <c r="F28" i="8"/>
  <c r="R27" i="8"/>
  <c r="N27" i="8"/>
  <c r="J27" i="8"/>
  <c r="J32" i="8" s="1"/>
  <c r="F27" i="8"/>
  <c r="R26" i="8"/>
  <c r="N26" i="8"/>
  <c r="J26" i="8"/>
  <c r="F26" i="8"/>
  <c r="R25" i="8"/>
  <c r="N25" i="8"/>
  <c r="J25" i="8"/>
  <c r="F25" i="8"/>
  <c r="R24" i="8"/>
  <c r="N24" i="8"/>
  <c r="J24" i="8"/>
  <c r="F24" i="8"/>
  <c r="Q23" i="8"/>
  <c r="Q32" i="8" s="1"/>
  <c r="N23" i="8"/>
  <c r="M23" i="8"/>
  <c r="M32" i="8" s="1"/>
  <c r="J23" i="8"/>
  <c r="F23" i="8"/>
  <c r="R22" i="8"/>
  <c r="N22" i="8"/>
  <c r="N32" i="8" s="1"/>
  <c r="J22" i="8"/>
  <c r="F22" i="8"/>
  <c r="F32" i="8" s="1"/>
  <c r="M18" i="8"/>
  <c r="L18" i="8"/>
  <c r="I18" i="8"/>
  <c r="H18" i="8"/>
  <c r="G18" i="8"/>
  <c r="E18" i="8"/>
  <c r="D18" i="8"/>
  <c r="C18" i="8"/>
  <c r="R17" i="8"/>
  <c r="N17" i="8"/>
  <c r="J17" i="8"/>
  <c r="F17" i="8"/>
  <c r="R16" i="8"/>
  <c r="N16" i="8"/>
  <c r="J16" i="8"/>
  <c r="F16" i="8"/>
  <c r="R15" i="8"/>
  <c r="N15" i="8"/>
  <c r="J15" i="8"/>
  <c r="F15" i="8"/>
  <c r="R14" i="8"/>
  <c r="N14" i="8"/>
  <c r="J14" i="8"/>
  <c r="F14" i="8"/>
  <c r="R13" i="8"/>
  <c r="N13" i="8"/>
  <c r="J13" i="8"/>
  <c r="F13" i="8"/>
  <c r="R12" i="8"/>
  <c r="N12" i="8"/>
  <c r="J12" i="8"/>
  <c r="F12" i="8"/>
  <c r="R11" i="8"/>
  <c r="N11" i="8"/>
  <c r="J11" i="8"/>
  <c r="F11" i="8"/>
  <c r="P10" i="8"/>
  <c r="O10" i="8"/>
  <c r="O18" i="8" s="1"/>
  <c r="N10" i="8"/>
  <c r="G10" i="8"/>
  <c r="J10" i="8" s="1"/>
  <c r="F10" i="8"/>
  <c r="Q9" i="8"/>
  <c r="Q18" i="8" s="1"/>
  <c r="P9" i="8"/>
  <c r="P18" i="8" s="1"/>
  <c r="K9" i="8"/>
  <c r="N9" i="8" s="1"/>
  <c r="J9" i="8"/>
  <c r="F9" i="8"/>
  <c r="F18" i="8" s="1"/>
  <c r="R8" i="8"/>
  <c r="N8" i="8"/>
  <c r="J8" i="8"/>
  <c r="F8" i="8"/>
  <c r="R7" i="8"/>
  <c r="N7" i="8"/>
  <c r="J7" i="8"/>
  <c r="F7" i="8"/>
  <c r="R6" i="8"/>
  <c r="N6" i="8"/>
  <c r="N18" i="8" s="1"/>
  <c r="J6" i="8"/>
  <c r="F6" i="8"/>
  <c r="J18" i="8" l="1"/>
  <c r="P49" i="8"/>
  <c r="P51" i="8" s="1"/>
  <c r="F41" i="8"/>
  <c r="F49" i="8" s="1"/>
  <c r="F51" i="8" s="1"/>
  <c r="E51" i="8"/>
  <c r="J41" i="8"/>
  <c r="J49" i="8" s="1"/>
  <c r="G51" i="8"/>
  <c r="H51" i="8"/>
  <c r="L51" i="8"/>
  <c r="O51" i="8"/>
  <c r="R32" i="8"/>
  <c r="R49" i="8" s="1"/>
  <c r="R18" i="8"/>
  <c r="R51" i="8" s="1"/>
  <c r="M49" i="8"/>
  <c r="M51" i="8" s="1"/>
  <c r="O49" i="8"/>
  <c r="J47" i="8"/>
  <c r="R47" i="8"/>
  <c r="D51" i="8"/>
  <c r="E41" i="8"/>
  <c r="E49" i="8" s="1"/>
  <c r="R9" i="8"/>
  <c r="R23" i="8"/>
  <c r="N34" i="8"/>
  <c r="N41" i="8" s="1"/>
  <c r="N49" i="8" s="1"/>
  <c r="N51" i="8" s="1"/>
  <c r="G41" i="8"/>
  <c r="G49" i="8" s="1"/>
  <c r="R34" i="8"/>
  <c r="R41" i="8" s="1"/>
  <c r="K18" i="8"/>
  <c r="K51" i="8" s="1"/>
  <c r="R10" i="8"/>
  <c r="Q47" i="8"/>
  <c r="Q41" i="8"/>
  <c r="Q49" i="8" s="1"/>
  <c r="Q51" i="8" s="1"/>
  <c r="C41" i="8"/>
  <c r="C49" i="8" s="1"/>
  <c r="C51" i="8" s="1"/>
  <c r="J51" i="8" l="1"/>
  <c r="C31" i="6"/>
  <c r="O47" i="5"/>
  <c r="Q41" i="5"/>
  <c r="R46" i="5"/>
  <c r="R9" i="5"/>
  <c r="P18" i="5"/>
  <c r="R34" i="5"/>
  <c r="E45" i="6"/>
  <c r="E40" i="6"/>
  <c r="E38" i="6"/>
  <c r="E37" i="6"/>
  <c r="E31" i="6"/>
  <c r="E28" i="6"/>
  <c r="E17" i="6"/>
  <c r="E16" i="6"/>
  <c r="E8" i="6"/>
  <c r="E6" i="6"/>
  <c r="J29" i="5"/>
  <c r="J46" i="5"/>
  <c r="F9" i="5"/>
  <c r="I47" i="5"/>
  <c r="I32" i="5"/>
  <c r="I49" i="5"/>
  <c r="I51" i="5" s="1"/>
  <c r="H32" i="5"/>
  <c r="H47" i="5"/>
  <c r="H49" i="5"/>
  <c r="H51" i="5" s="1"/>
  <c r="P47" i="5"/>
  <c r="M47" i="5"/>
  <c r="L47" i="5"/>
  <c r="K47" i="5"/>
  <c r="G47" i="5"/>
  <c r="E47" i="5"/>
  <c r="D47" i="5"/>
  <c r="C47" i="5"/>
  <c r="N46" i="5"/>
  <c r="F46" i="5"/>
  <c r="R45" i="5"/>
  <c r="N45" i="5"/>
  <c r="J45" i="5"/>
  <c r="F45" i="5"/>
  <c r="C45" i="6" s="1"/>
  <c r="R44" i="5"/>
  <c r="N44" i="5"/>
  <c r="J44" i="5"/>
  <c r="C44" i="6" s="1"/>
  <c r="F44" i="5"/>
  <c r="R43" i="5"/>
  <c r="N43" i="5"/>
  <c r="J43" i="5"/>
  <c r="C43" i="6" s="1"/>
  <c r="F43" i="5"/>
  <c r="M41" i="5"/>
  <c r="L41" i="5"/>
  <c r="K41" i="5"/>
  <c r="I41" i="5"/>
  <c r="H41" i="5"/>
  <c r="G41" i="5"/>
  <c r="E41" i="5"/>
  <c r="E49" i="5" s="1"/>
  <c r="D41" i="5"/>
  <c r="C41" i="5"/>
  <c r="R40" i="5"/>
  <c r="N40" i="5"/>
  <c r="J40" i="5"/>
  <c r="F40" i="5"/>
  <c r="C40" i="6" s="1"/>
  <c r="R39" i="5"/>
  <c r="N39" i="5"/>
  <c r="J39" i="5"/>
  <c r="C39" i="6" s="1"/>
  <c r="F39" i="5"/>
  <c r="R38" i="5"/>
  <c r="N38" i="5"/>
  <c r="J38" i="5"/>
  <c r="F38" i="5"/>
  <c r="R37" i="5"/>
  <c r="C37" i="6" s="1"/>
  <c r="N37" i="5"/>
  <c r="J37" i="5"/>
  <c r="F37" i="5"/>
  <c r="N36" i="5"/>
  <c r="J36" i="5"/>
  <c r="F36" i="5"/>
  <c r="R35" i="5"/>
  <c r="N35" i="5"/>
  <c r="J35" i="5"/>
  <c r="F35" i="5"/>
  <c r="C35" i="6" s="1"/>
  <c r="N34" i="5"/>
  <c r="J34" i="5"/>
  <c r="F34" i="5"/>
  <c r="R33" i="5"/>
  <c r="Q32" i="5"/>
  <c r="P32" i="5"/>
  <c r="O32" i="5"/>
  <c r="M32" i="5"/>
  <c r="L32" i="5"/>
  <c r="K32" i="5"/>
  <c r="G32" i="5"/>
  <c r="E32" i="5"/>
  <c r="D32" i="5"/>
  <c r="C32" i="5"/>
  <c r="R31" i="5"/>
  <c r="N31" i="5"/>
  <c r="J31" i="5"/>
  <c r="F31" i="5"/>
  <c r="R30" i="5"/>
  <c r="N30" i="5"/>
  <c r="J30" i="5"/>
  <c r="F30" i="5"/>
  <c r="R29" i="5"/>
  <c r="N29" i="5"/>
  <c r="F29" i="5"/>
  <c r="C29" i="6" s="1"/>
  <c r="R28" i="5"/>
  <c r="N28" i="5"/>
  <c r="J28" i="5"/>
  <c r="F28" i="5"/>
  <c r="R27" i="5"/>
  <c r="N27" i="5"/>
  <c r="J27" i="5"/>
  <c r="F27" i="5"/>
  <c r="C27" i="6" s="1"/>
  <c r="R26" i="5"/>
  <c r="N26" i="5"/>
  <c r="J26" i="5"/>
  <c r="F26" i="5"/>
  <c r="C26" i="6" s="1"/>
  <c r="R25" i="5"/>
  <c r="N25" i="5"/>
  <c r="C25" i="6" s="1"/>
  <c r="J25" i="5"/>
  <c r="F25" i="5"/>
  <c r="R24" i="5"/>
  <c r="N24" i="5"/>
  <c r="J24" i="5"/>
  <c r="F24" i="5"/>
  <c r="C24" i="6" s="1"/>
  <c r="R23" i="5"/>
  <c r="N23" i="5"/>
  <c r="J23" i="5"/>
  <c r="F23" i="5"/>
  <c r="R22" i="5"/>
  <c r="N22" i="5"/>
  <c r="J22" i="5"/>
  <c r="F22" i="5"/>
  <c r="C22" i="6" s="1"/>
  <c r="O18" i="5"/>
  <c r="M18" i="5"/>
  <c r="L18" i="5"/>
  <c r="K18" i="5"/>
  <c r="I18" i="5"/>
  <c r="H18" i="5"/>
  <c r="G18" i="5"/>
  <c r="E18" i="5"/>
  <c r="D18" i="5"/>
  <c r="C18" i="5"/>
  <c r="R17" i="5"/>
  <c r="N17" i="5"/>
  <c r="J17" i="5"/>
  <c r="F17" i="5"/>
  <c r="R16" i="5"/>
  <c r="N16" i="5"/>
  <c r="J16" i="5"/>
  <c r="F16" i="5"/>
  <c r="R15" i="5"/>
  <c r="N15" i="5"/>
  <c r="J15" i="5"/>
  <c r="F15" i="5"/>
  <c r="R14" i="5"/>
  <c r="N14" i="5"/>
  <c r="J14" i="5"/>
  <c r="F14" i="5"/>
  <c r="R13" i="5"/>
  <c r="N13" i="5"/>
  <c r="J13" i="5"/>
  <c r="F13" i="5"/>
  <c r="R12" i="5"/>
  <c r="N12" i="5"/>
  <c r="C12" i="6" s="1"/>
  <c r="J12" i="5"/>
  <c r="F12" i="5"/>
  <c r="R11" i="5"/>
  <c r="N11" i="5"/>
  <c r="C11" i="6" s="1"/>
  <c r="J11" i="5"/>
  <c r="F11" i="5"/>
  <c r="R10" i="5"/>
  <c r="N10" i="5"/>
  <c r="J10" i="5"/>
  <c r="F10" i="5"/>
  <c r="N9" i="5"/>
  <c r="J9" i="5"/>
  <c r="J6" i="5"/>
  <c r="R8" i="5"/>
  <c r="N8" i="5"/>
  <c r="J8" i="5"/>
  <c r="F8" i="5"/>
  <c r="C8" i="6" s="1"/>
  <c r="R7" i="5"/>
  <c r="N7" i="5"/>
  <c r="J7" i="5"/>
  <c r="C7" i="6" s="1"/>
  <c r="F7" i="5"/>
  <c r="R6" i="5"/>
  <c r="N6" i="5"/>
  <c r="F6" i="5"/>
  <c r="T18" i="2"/>
  <c r="R45" i="2"/>
  <c r="J9" i="2"/>
  <c r="N9" i="2"/>
  <c r="R16" i="2"/>
  <c r="R15" i="2"/>
  <c r="U15" i="2" s="1"/>
  <c r="V15" i="2" s="1"/>
  <c r="R14" i="2"/>
  <c r="R13" i="2"/>
  <c r="R12" i="2"/>
  <c r="R11" i="2"/>
  <c r="R10" i="2"/>
  <c r="R9" i="2"/>
  <c r="R8" i="2"/>
  <c r="R7" i="2"/>
  <c r="N17" i="2"/>
  <c r="N16" i="2"/>
  <c r="N15" i="2"/>
  <c r="N14" i="2"/>
  <c r="N13" i="2"/>
  <c r="U13" i="2" s="1"/>
  <c r="N12" i="2"/>
  <c r="N11" i="2"/>
  <c r="N10" i="2"/>
  <c r="N8" i="2"/>
  <c r="N7" i="2"/>
  <c r="J17" i="2"/>
  <c r="J16" i="2"/>
  <c r="J15" i="2"/>
  <c r="J14" i="2"/>
  <c r="J13" i="2"/>
  <c r="J12" i="2"/>
  <c r="J11" i="2"/>
  <c r="J10" i="2"/>
  <c r="J8" i="2"/>
  <c r="J7" i="2"/>
  <c r="F17" i="2"/>
  <c r="F16" i="2"/>
  <c r="F15" i="2"/>
  <c r="F14" i="2"/>
  <c r="F13" i="2"/>
  <c r="F12" i="2"/>
  <c r="F11" i="2"/>
  <c r="F10" i="2"/>
  <c r="F8" i="2"/>
  <c r="F7" i="2"/>
  <c r="U8" i="2"/>
  <c r="V8" i="2"/>
  <c r="U16" i="2"/>
  <c r="V16" i="2"/>
  <c r="N45" i="2"/>
  <c r="J45" i="2"/>
  <c r="F45" i="2"/>
  <c r="R31" i="2"/>
  <c r="R30" i="2"/>
  <c r="R29" i="2"/>
  <c r="U29" i="2" s="1"/>
  <c r="R28" i="2"/>
  <c r="R27" i="2"/>
  <c r="N31" i="2"/>
  <c r="N30" i="2"/>
  <c r="U30" i="2" s="1"/>
  <c r="N29" i="2"/>
  <c r="N28" i="2"/>
  <c r="N27" i="2"/>
  <c r="J31" i="2"/>
  <c r="J30" i="2"/>
  <c r="J29" i="2"/>
  <c r="J28" i="2"/>
  <c r="J27" i="2"/>
  <c r="F31" i="2"/>
  <c r="F30" i="2"/>
  <c r="F29" i="2"/>
  <c r="F28" i="2"/>
  <c r="F27" i="2"/>
  <c r="U27" i="2" s="1"/>
  <c r="F26" i="2"/>
  <c r="R26" i="2"/>
  <c r="N26" i="2"/>
  <c r="J26" i="2"/>
  <c r="Q32" i="2"/>
  <c r="P32" i="2"/>
  <c r="O32" i="2"/>
  <c r="M32" i="2"/>
  <c r="L32" i="2"/>
  <c r="K32" i="2"/>
  <c r="I32" i="2"/>
  <c r="H32" i="2"/>
  <c r="G32" i="2"/>
  <c r="E32" i="2"/>
  <c r="D32" i="2"/>
  <c r="C32" i="2"/>
  <c r="E47" i="2"/>
  <c r="D47" i="2"/>
  <c r="C47" i="2"/>
  <c r="Q47" i="2"/>
  <c r="P47" i="2"/>
  <c r="O47" i="2"/>
  <c r="M47" i="2"/>
  <c r="L47" i="2"/>
  <c r="K47" i="2"/>
  <c r="I47" i="2"/>
  <c r="H47" i="2"/>
  <c r="G47" i="2"/>
  <c r="O41" i="2"/>
  <c r="P41" i="2"/>
  <c r="Q41" i="2"/>
  <c r="G41" i="2"/>
  <c r="H41" i="2"/>
  <c r="I41" i="2"/>
  <c r="K41" i="2"/>
  <c r="L41" i="2"/>
  <c r="M41" i="2"/>
  <c r="C41" i="2"/>
  <c r="C49" i="2" s="1"/>
  <c r="C51" i="2" s="1"/>
  <c r="D41" i="2"/>
  <c r="E41" i="2"/>
  <c r="R36" i="2"/>
  <c r="N36" i="2"/>
  <c r="J36" i="2"/>
  <c r="F36" i="2"/>
  <c r="R40" i="2"/>
  <c r="N40" i="2"/>
  <c r="J40" i="2"/>
  <c r="F40" i="2"/>
  <c r="R39" i="2"/>
  <c r="R38" i="2"/>
  <c r="N39" i="2"/>
  <c r="N38" i="2"/>
  <c r="J39" i="2"/>
  <c r="U39" i="2" s="1"/>
  <c r="J38" i="2"/>
  <c r="J37" i="2"/>
  <c r="F39" i="2"/>
  <c r="F38" i="2"/>
  <c r="F6" i="2"/>
  <c r="T49" i="2"/>
  <c r="T51" i="2"/>
  <c r="V48" i="2"/>
  <c r="R46" i="2"/>
  <c r="N46" i="2"/>
  <c r="J46" i="2"/>
  <c r="F46" i="2"/>
  <c r="R44" i="2"/>
  <c r="N44" i="2"/>
  <c r="N47" i="2" s="1"/>
  <c r="J44" i="2"/>
  <c r="F44" i="2"/>
  <c r="F47" i="2" s="1"/>
  <c r="R43" i="2"/>
  <c r="U43" i="2" s="1"/>
  <c r="N43" i="2"/>
  <c r="J43" i="2"/>
  <c r="F43" i="2"/>
  <c r="R37" i="2"/>
  <c r="N37" i="2"/>
  <c r="F37" i="2"/>
  <c r="R35" i="2"/>
  <c r="N35" i="2"/>
  <c r="J35" i="2"/>
  <c r="F35" i="2"/>
  <c r="R34" i="2"/>
  <c r="N34" i="2"/>
  <c r="J34" i="2"/>
  <c r="F34" i="2"/>
  <c r="V33" i="2"/>
  <c r="R33" i="2"/>
  <c r="R25" i="2"/>
  <c r="N25" i="2"/>
  <c r="J25" i="2"/>
  <c r="F25" i="2"/>
  <c r="R24" i="2"/>
  <c r="U24" i="2" s="1"/>
  <c r="N24" i="2"/>
  <c r="J24" i="2"/>
  <c r="F24" i="2"/>
  <c r="R23" i="2"/>
  <c r="N23" i="2"/>
  <c r="J23" i="2"/>
  <c r="F23" i="2"/>
  <c r="R22" i="2"/>
  <c r="N22" i="2"/>
  <c r="J22" i="2"/>
  <c r="F22" i="2"/>
  <c r="V21" i="2"/>
  <c r="V20" i="2"/>
  <c r="V19" i="2"/>
  <c r="Q18" i="2"/>
  <c r="P18" i="2"/>
  <c r="O18" i="2"/>
  <c r="M18" i="2"/>
  <c r="L18" i="2"/>
  <c r="K18" i="2"/>
  <c r="I18" i="2"/>
  <c r="H18" i="2"/>
  <c r="G18" i="2"/>
  <c r="E18" i="2"/>
  <c r="D18" i="2"/>
  <c r="C18" i="2"/>
  <c r="R17" i="2"/>
  <c r="R6" i="2"/>
  <c r="N6" i="2"/>
  <c r="J6" i="2"/>
  <c r="U45" i="2"/>
  <c r="V45" i="2"/>
  <c r="U28" i="2"/>
  <c r="V28" i="2"/>
  <c r="U31" i="2"/>
  <c r="V31" i="2"/>
  <c r="U38" i="2"/>
  <c r="V38" i="2"/>
  <c r="U40" i="2"/>
  <c r="V40" i="2"/>
  <c r="N41" i="2"/>
  <c r="U6" i="2"/>
  <c r="U17" i="2"/>
  <c r="V17" i="2"/>
  <c r="U35" i="2"/>
  <c r="E35" i="6" s="1"/>
  <c r="V35" i="2"/>
  <c r="U37" i="2"/>
  <c r="V37" i="2"/>
  <c r="V6" i="2"/>
  <c r="M49" i="2" l="1"/>
  <c r="U25" i="2"/>
  <c r="E39" i="6"/>
  <c r="V39" i="2"/>
  <c r="L49" i="2"/>
  <c r="U44" i="2"/>
  <c r="K49" i="2"/>
  <c r="K51" i="2" s="1"/>
  <c r="J47" i="2"/>
  <c r="V44" i="2"/>
  <c r="E44" i="6"/>
  <c r="V43" i="2"/>
  <c r="E43" i="6"/>
  <c r="R47" i="2"/>
  <c r="U12" i="2"/>
  <c r="V12" i="2" s="1"/>
  <c r="E12" i="6"/>
  <c r="N32" i="2"/>
  <c r="N49" i="2" s="1"/>
  <c r="U10" i="2"/>
  <c r="V10" i="2" s="1"/>
  <c r="U9" i="2"/>
  <c r="V9" i="2" s="1"/>
  <c r="J18" i="2"/>
  <c r="F18" i="2"/>
  <c r="U14" i="2"/>
  <c r="V14" i="2" s="1"/>
  <c r="R41" i="2"/>
  <c r="Q49" i="2"/>
  <c r="Q51" i="2" s="1"/>
  <c r="P49" i="2"/>
  <c r="P51" i="2" s="1"/>
  <c r="O49" i="2"/>
  <c r="O51" i="2" s="1"/>
  <c r="E29" i="6"/>
  <c r="V29" i="2"/>
  <c r="E30" i="6"/>
  <c r="V30" i="2"/>
  <c r="E25" i="6"/>
  <c r="V25" i="2"/>
  <c r="E24" i="6"/>
  <c r="V24" i="2"/>
  <c r="R32" i="2"/>
  <c r="M51" i="2"/>
  <c r="L51" i="2"/>
  <c r="E14" i="6"/>
  <c r="R18" i="2"/>
  <c r="E15" i="6"/>
  <c r="V13" i="2"/>
  <c r="E13" i="6"/>
  <c r="N18" i="2"/>
  <c r="U11" i="2"/>
  <c r="V11" i="2" s="1"/>
  <c r="U7" i="2"/>
  <c r="V7" i="2" s="1"/>
  <c r="U46" i="2"/>
  <c r="J41" i="2"/>
  <c r="G49" i="2"/>
  <c r="G51" i="2" s="1"/>
  <c r="U36" i="2"/>
  <c r="E36" i="6" s="1"/>
  <c r="I49" i="2"/>
  <c r="I51" i="2" s="1"/>
  <c r="H49" i="2"/>
  <c r="H51" i="2" s="1"/>
  <c r="U26" i="2"/>
  <c r="V26" i="2" s="1"/>
  <c r="J32" i="2"/>
  <c r="U23" i="2"/>
  <c r="V23" i="2" s="1"/>
  <c r="U22" i="2"/>
  <c r="V22" i="2" s="1"/>
  <c r="E49" i="2"/>
  <c r="E51" i="2" s="1"/>
  <c r="E10" i="6"/>
  <c r="F41" i="2"/>
  <c r="D49" i="2"/>
  <c r="D51" i="2" s="1"/>
  <c r="V27" i="2"/>
  <c r="E27" i="6"/>
  <c r="F32" i="2"/>
  <c r="F49" i="2" s="1"/>
  <c r="U34" i="2"/>
  <c r="C34" i="6"/>
  <c r="C36" i="6"/>
  <c r="L49" i="5"/>
  <c r="L51" i="5" s="1"/>
  <c r="C38" i="6"/>
  <c r="J47" i="5"/>
  <c r="C46" i="6"/>
  <c r="C47" i="6" s="1"/>
  <c r="J32" i="5"/>
  <c r="C28" i="6"/>
  <c r="D49" i="5"/>
  <c r="D51" i="5"/>
  <c r="E51" i="5"/>
  <c r="C30" i="6"/>
  <c r="C9" i="6"/>
  <c r="C15" i="6"/>
  <c r="C13" i="6"/>
  <c r="N18" i="5"/>
  <c r="F18" i="5"/>
  <c r="F41" i="5"/>
  <c r="F47" i="5"/>
  <c r="C49" i="5"/>
  <c r="C51" i="5" s="1"/>
  <c r="F32" i="5"/>
  <c r="F49" i="5" s="1"/>
  <c r="F51" i="5" s="1"/>
  <c r="C14" i="6"/>
  <c r="C10" i="6"/>
  <c r="C6" i="6"/>
  <c r="G49" i="5"/>
  <c r="G51" i="5" s="1"/>
  <c r="J41" i="5"/>
  <c r="J18" i="5"/>
  <c r="C41" i="6"/>
  <c r="R36" i="5"/>
  <c r="R41" i="5" s="1"/>
  <c r="R47" i="5"/>
  <c r="Q47" i="5"/>
  <c r="Q18" i="5"/>
  <c r="Q49" i="5"/>
  <c r="R18" i="5"/>
  <c r="P41" i="5"/>
  <c r="P49" i="5"/>
  <c r="P51" i="5" s="1"/>
  <c r="R32" i="5"/>
  <c r="O41" i="5"/>
  <c r="O49" i="5" s="1"/>
  <c r="O51" i="5" s="1"/>
  <c r="M49" i="5"/>
  <c r="M51" i="5"/>
  <c r="N32" i="5"/>
  <c r="N47" i="5"/>
  <c r="N41" i="5"/>
  <c r="K49" i="5"/>
  <c r="K51" i="5" s="1"/>
  <c r="N51" i="2" l="1"/>
  <c r="E9" i="6"/>
  <c r="F51" i="2"/>
  <c r="E26" i="6"/>
  <c r="R49" i="2"/>
  <c r="R51" i="2" s="1"/>
  <c r="E22" i="6"/>
  <c r="E11" i="6"/>
  <c r="E18" i="6" s="1"/>
  <c r="E7" i="6"/>
  <c r="U18" i="2"/>
  <c r="V18" i="2" s="1"/>
  <c r="W18" i="2" s="1"/>
  <c r="E46" i="6"/>
  <c r="E47" i="6" s="1"/>
  <c r="V46" i="2"/>
  <c r="U47" i="2"/>
  <c r="J49" i="2"/>
  <c r="J51" i="2" s="1"/>
  <c r="V36" i="2"/>
  <c r="U32" i="2"/>
  <c r="E23" i="6"/>
  <c r="U41" i="2"/>
  <c r="V34" i="2"/>
  <c r="E34" i="6"/>
  <c r="E41" i="6" s="1"/>
  <c r="C32" i="6"/>
  <c r="C18" i="6"/>
  <c r="J49" i="5"/>
  <c r="J51" i="5"/>
  <c r="Q51" i="5"/>
  <c r="R49" i="5"/>
  <c r="R51" i="5" s="1"/>
  <c r="N49" i="5"/>
  <c r="N51" i="5" s="1"/>
  <c r="C49" i="6"/>
  <c r="C51" i="6" s="1"/>
  <c r="E32" i="6" l="1"/>
  <c r="E49" i="6" s="1"/>
  <c r="E51" i="6" s="1"/>
  <c r="U49" i="2"/>
  <c r="V49" i="2" s="1"/>
  <c r="V51" i="2" s="1"/>
  <c r="U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tc={60D997C9-0D34-7142-91E3-3029C8A9D8F0}</author>
    <author>tc={749CD5F5-5C83-B94D-970B-944C4077513B}</author>
    <author>tc={FB96F258-62B1-DF47-B810-B6B95481721D}</author>
    <author>tc={D891C5BB-F79A-DC4C-BEFB-B6B509BD649B}</author>
    <author>tc={5EEF834B-7369-FB46-9A51-8EC161765DC0}</author>
    <author>tc={9FF6646D-232C-0647-91FA-797AA055BFF8}</author>
    <author>tc={C2B48A64-2F6C-5945-9F2D-6FEE043C3F75}</author>
    <author>tc={B95D7DBE-8BEB-D548-94E8-25039E5A0C01}</author>
    <author>tc={AC63F304-022C-8147-BB41-2BC9ADA89C0D}</author>
    <author>tc={DF410FF1-CC4C-054E-AE96-8E20E7C7A505}</author>
    <author>tc={36817808-D804-0345-9365-B22E8D63F3B1}</author>
    <author>tc={05A5BB6B-6FBF-2C4A-9C2D-7C74D9E2078B}</author>
    <author>tc={29EA8F02-2E0B-0C42-A49D-6069B11A9685}</author>
    <author>tc={15755E23-F93B-EE47-91C8-6372806C6504}</author>
    <author>tc={889072C8-69D0-7047-B531-1BC8DF6ADA7F}</author>
    <author>tc={E96A9F56-EBED-164F-A28F-BD2A0EF57E68}</author>
    <author>tc={4CB82A4D-60FA-424A-9EBD-0E24B6C29D75}</author>
    <author>tc={807A7654-06E3-2C47-BB8D-758A88BA3BB4}</author>
  </authors>
  <commentList>
    <comment ref="H9" authorId="0" shapeId="0" xr:uid="{60D997C9-0D34-7142-91E3-3029C8A9D8F0}">
      <text>
        <t>[Threaded comment]
Your version of Excel allows you to read this threaded comment; however, any edits to it will get removed if the file is opened in a newer version of Excel. Learn more: https://go.microsoft.com/fwlink/?linkid=870924
Comment:
    3v3 Basketball</t>
      </text>
    </comment>
    <comment ref="K9" authorId="1" shapeId="0" xr:uid="{749CD5F5-5C83-B94D-970B-944C4077513B}">
      <text>
        <t>[Threaded comment]
Your version of Excel allows you to read this threaded comment; however, any edits to it will get removed if the file is opened in a newer version of Excel. Learn more: https://go.microsoft.com/fwlink/?linkid=870924
Comment:
    Magic Masters
Dodge Ball Tournament</t>
      </text>
    </comment>
    <comment ref="M9" authorId="2" shapeId="0" xr:uid="{FB96F258-62B1-DF47-B810-B6B95481721D}">
      <text>
        <t>[Threaded comment]
Your version of Excel allows you to read this threaded comment; however, any edits to it will get removed if the file is opened in a newer version of Excel. Learn more: https://go.microsoft.com/fwlink/?linkid=870924
Comment:
    Volleyball Tournament</t>
      </text>
    </comment>
    <comment ref="Q9" authorId="3" shapeId="0" xr:uid="{D891C5BB-F79A-DC4C-BEFB-B6B509BD649B}">
      <text>
        <t>[Threaded comment]
Your version of Excel allows you to read this threaded comment; however, any edits to it will get removed if the file is opened in a newer version of Excel. Learn more: https://go.microsoft.com/fwlink/?linkid=870924
Comment:
    Altebrando Tournament - 1100
Awards Revenues - 10K</t>
      </text>
    </comment>
    <comment ref="G10" authorId="4" shapeId="0" xr:uid="{5EEF834B-7369-FB46-9A51-8EC161765DC0}">
      <text>
        <t>[Threaded comment]
Your version of Excel allows you to read this threaded comment; however, any edits to it will get removed if the file is opened in a newer version of Excel. Learn more: https://go.microsoft.com/fwlink/?linkid=870924
Comment:
    Homecoming &amp; Football Season</t>
      </text>
    </comment>
    <comment ref="P10" authorId="5" shapeId="0" xr:uid="{9FF6646D-232C-0647-91FA-797AA055BFF8}">
      <text>
        <t>[Threaded comment]
Your version of Excel allows you to read this threaded comment; however, any edits to it will get removed if the file is opened in a newer version of Excel. Learn more: https://go.microsoft.com/fwlink/?linkid=870924
Comment:
    MURPH</t>
      </text>
    </comment>
    <comment ref="G14" authorId="6" shapeId="0" xr:uid="{C2B48A64-2F6C-5945-9F2D-6FEE043C3F75}">
      <text>
        <t>[Threaded comment]
Your version of Excel allows you to read this threaded comment; however, any edits to it will get removed if the file is opened in a newer version of Excel. Learn more: https://go.microsoft.com/fwlink/?linkid=870924
Comment:
    Fall Raffle</t>
      </text>
    </comment>
    <comment ref="O14" authorId="7" shapeId="0" xr:uid="{B95D7DBE-8BEB-D548-94E8-25039E5A0C01}">
      <text>
        <t>[Threaded comment]
Your version of Excel allows you to read this threaded comment; however, any edits to it will get removed if the file is opened in a newer version of Excel. Learn more: https://go.microsoft.com/fwlink/?linkid=870924
Comment:
    Spring Raffle</t>
      </text>
    </comment>
    <comment ref="K23" authorId="8" shapeId="0" xr:uid="{AC63F304-022C-8147-BB41-2BC9ADA89C0D}">
      <text>
        <t>[Threaded comment]
Your version of Excel allows you to read this threaded comment; however, any edits to it will get removed if the file is opened in a newer version of Excel. Learn more: https://go.microsoft.com/fwlink/?linkid=870924
Comment:
    Dream Team Shirts &amp; Signage</t>
      </text>
    </comment>
    <comment ref="P23" authorId="9" shapeId="0" xr:uid="{DF410FF1-CC4C-054E-AE96-8E20E7C7A505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Commitment Ceremony (hats, cake, refreshments)</t>
      </text>
    </comment>
    <comment ref="Q23" authorId="10" shapeId="0" xr:uid="{36817808-D804-0345-9365-B22E8D63F3B1}">
      <text>
        <t>[Threaded comment]
Your version of Excel allows you to read this threaded comment; however, any edits to it will get removed if the file is opened in a newer version of Excel. Learn more: https://go.microsoft.com/fwlink/?linkid=870924
Comment:
    Hall of Fame Awards</t>
      </text>
    </comment>
    <comment ref="E26" authorId="11" shapeId="0" xr:uid="{05A5BB6B-6FBF-2C4A-9C2D-7C74D9E2078B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of Season Stocking</t>
      </text>
    </comment>
    <comment ref="G26" authorId="12" shapeId="0" xr:uid="{29EA8F02-2E0B-0C42-A49D-6069B11A968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Homecoming </t>
      </text>
    </comment>
    <comment ref="K26" authorId="13" shapeId="0" xr:uid="{15755E23-F93B-EE47-91C8-6372806C6504}">
      <text>
        <t>[Threaded comment]
Your version of Excel allows you to read this threaded comment; however, any edits to it will get removed if the file is opened in a newer version of Excel. Learn more: https://go.microsoft.com/fwlink/?linkid=870924
Comment:
    Magic Masters - North Gym
Dance Competition Catering</t>
      </text>
    </comment>
    <comment ref="Q26" authorId="14" shapeId="0" xr:uid="{889072C8-69D0-7047-B531-1BC8DF6ADA7F}">
      <text>
        <t>[Threaded comment]
Your version of Excel allows you to read this threaded comment; however, any edits to it will get removed if the file is opened in a newer version of Excel. Learn more: https://go.microsoft.com/fwlink/?linkid=870924
Comment:
    Altebrando Tournament</t>
      </text>
    </comment>
    <comment ref="I39" authorId="15" shapeId="0" xr:uid="{E96A9F56-EBED-164F-A28F-BD2A0EF57E68}">
      <text>
        <t>[Threaded comment]
Your version of Excel allows you to read this threaded comment; however, any edits to it will get removed if the file is opened in a newer version of Excel. Learn more: https://go.microsoft.com/fwlink/?linkid=870924
Comment:
    Holiday Dinner</t>
      </text>
    </comment>
    <comment ref="A44" authorId="16" shapeId="0" xr:uid="{4CB82A4D-60FA-424A-9EBD-0E24B6C29D7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Coach Requests and Annual Team allocations annualized (6K)</t>
      </text>
    </comment>
    <comment ref="G44" authorId="17" shapeId="0" xr:uid="{807A7654-06E3-2C47-BB8D-758A88BA3BB4}">
      <text>
        <t>[Threaded comment]
Your version of Excel allows you to read this threaded comment; however, any edits to it will get removed if the file is opened in a newer version of Excel. Learn more: https://go.microsoft.com/fwlink/?linkid=870924
Comment:
    Tent for Girls XC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tc={518082A1-6B3B-471E-92A0-CA5E60F0D108}</author>
    <author>tc={3ABFD755-B3F5-42E4-9399-54DE6A3627C5}</author>
  </authors>
  <commentList>
    <comment ref="C24" authorId="0" shapeId="0" xr:uid="{518082A1-6B3B-471E-92A0-CA5E60F0D108}">
      <text>
        <t>[Threaded comment]
Your version of Excel allows you to read this threaded comment; however, any edits to it will get removed if the file is opened in a newer version of Excel. Learn more: https://go.microsoft.com/fwlink/?linkid=870924
Comment:
    FedEx - Updated deposit forms for concession</t>
      </text>
    </comment>
    <comment ref="C36" authorId="1" shapeId="0" xr:uid="{3ABFD755-B3F5-42E4-9399-54DE6A3627C5}">
      <text>
        <t>[Threaded comment]
Your version of Excel allows you to read this threaded comment; however, any edits to it will get removed if the file is opened in a newer version of Excel. Learn more: https://go.microsoft.com/fwlink/?linkid=870924
Comment:
    Quickbooks</t>
      </text>
    </comment>
  </commentList>
</comments>
</file>

<file path=xl/sharedStrings.xml><?xml version="1.0" encoding="utf-8"?>
<sst xmlns="http://schemas.openxmlformats.org/spreadsheetml/2006/main" count="275" uniqueCount="76">
  <si>
    <t>FYTD ACUTAL</t>
  </si>
  <si>
    <t>Budget</t>
  </si>
  <si>
    <t>Variance</t>
  </si>
  <si>
    <t>Q1</t>
  </si>
  <si>
    <t>Q2</t>
  </si>
  <si>
    <t>Q3</t>
  </si>
  <si>
    <t>Q4</t>
  </si>
  <si>
    <t>Insurance Expense</t>
  </si>
  <si>
    <t>TOTAL</t>
  </si>
  <si>
    <t>GROSS REVENUES</t>
  </si>
  <si>
    <t>JUL '22</t>
  </si>
  <si>
    <t>AUG '22</t>
  </si>
  <si>
    <t>SEP '22</t>
  </si>
  <si>
    <t>OCT '22</t>
  </si>
  <si>
    <t>NOV '22</t>
  </si>
  <si>
    <t>DEC '22</t>
  </si>
  <si>
    <t>Commissions</t>
  </si>
  <si>
    <t>NET INCOME</t>
  </si>
  <si>
    <t>Dues &amp; Subscriptions &amp; Licenses</t>
  </si>
  <si>
    <t>OPERATIONAL REVENUES</t>
  </si>
  <si>
    <t>Donations, Gifts, Grants</t>
  </si>
  <si>
    <t>Events</t>
  </si>
  <si>
    <t>Corporate Sponsorship</t>
  </si>
  <si>
    <t>General Membership</t>
  </si>
  <si>
    <t>Concession</t>
  </si>
  <si>
    <t>Vending Machine</t>
  </si>
  <si>
    <t>Promotional: Spiritwear</t>
  </si>
  <si>
    <t>Promotional: General</t>
  </si>
  <si>
    <t>Fundraising: Raffles, 50/50, etc.</t>
  </si>
  <si>
    <t>Expenses</t>
  </si>
  <si>
    <t>Field Sign Purchases</t>
  </si>
  <si>
    <t>Administrative Expenses</t>
  </si>
  <si>
    <t>Office Expenses</t>
  </si>
  <si>
    <t>Banking, CC, Paypal Fees</t>
  </si>
  <si>
    <t>Event Expenses</t>
  </si>
  <si>
    <t>Printing</t>
  </si>
  <si>
    <t>Raffle Expenses</t>
  </si>
  <si>
    <t>Concession Expense</t>
  </si>
  <si>
    <t>Maintenance</t>
  </si>
  <si>
    <t>County Dinners</t>
  </si>
  <si>
    <t>Gold Key-HOF Banquet</t>
  </si>
  <si>
    <t>Scholarships</t>
  </si>
  <si>
    <t>Scholarships &amp; Donations</t>
  </si>
  <si>
    <t>Athlete Scholarships</t>
  </si>
  <si>
    <t>Athletic Equipment Donations</t>
  </si>
  <si>
    <t>Althetic Non-Equipment Donations</t>
  </si>
  <si>
    <t>Travel &amp; Entertainement</t>
  </si>
  <si>
    <t>Miscellaneous</t>
  </si>
  <si>
    <t>Awards &amp; Recognitions</t>
  </si>
  <si>
    <t>DJC ONLY</t>
  </si>
  <si>
    <t>%Budget</t>
  </si>
  <si>
    <t>Wildcat Booster Club</t>
  </si>
  <si>
    <t>Printing, Publications, Postage</t>
  </si>
  <si>
    <t>2022-2023</t>
  </si>
  <si>
    <t>JAN '23</t>
  </si>
  <si>
    <t>FEB '23</t>
  </si>
  <si>
    <t>MAR '23</t>
  </si>
  <si>
    <t>APR '23</t>
  </si>
  <si>
    <t>MAY '23</t>
  </si>
  <si>
    <t>JUN '23</t>
  </si>
  <si>
    <t>Actual YTD</t>
  </si>
  <si>
    <t>NET ACTIVITY</t>
  </si>
  <si>
    <t>EXPENSE TOTALS</t>
  </si>
  <si>
    <t>2023-2024</t>
  </si>
  <si>
    <t>JUL '23</t>
  </si>
  <si>
    <t>AUG '23</t>
  </si>
  <si>
    <t>SEP '23</t>
  </si>
  <si>
    <t>OCT '23</t>
  </si>
  <si>
    <t>NOV '23</t>
  </si>
  <si>
    <t>DEC '23</t>
  </si>
  <si>
    <t>JAN '24</t>
  </si>
  <si>
    <t>FEB '24</t>
  </si>
  <si>
    <t>MAR '24</t>
  </si>
  <si>
    <t>APR '24</t>
  </si>
  <si>
    <t>MAY '24</t>
  </si>
  <si>
    <t>JUN 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</si>
</sst>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0061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rgb="FFFFFFFF"/>
      </patternFill>
    </fill>
    <fill>
      <patternFill patternType="solid">
        <fgColor rgb="FFBFBFB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44" fontId="0" fillId="0" borderId="0" xfId="1" applyFont="1"/>
    <xf numFmtId="44" fontId="2" fillId="0" borderId="0" xfId="1" applyFont="1"/>
    <xf numFmtId="44" fontId="0" fillId="0" borderId="0" xfId="1" quotePrefix="1" applyFont="1"/>
    <xf numFmtId="44" fontId="3" fillId="0" borderId="0" xfId="1" applyFont="1"/>
    <xf numFmtId="44" fontId="4" fillId="3" borderId="0" xfId="3" applyNumberFormat="1" applyFont="1" applyAlignment="1">
      <alignment horizontal="left"/>
    </xf>
    <xf numFmtId="44" fontId="4" fillId="4" borderId="0" xfId="4" applyNumberFormat="1" applyFont="1" applyAlignment="1">
      <alignment horizontal="center"/>
    </xf>
    <xf numFmtId="0" fontId="4" fillId="2" borderId="0" xfId="2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1" applyFont="1" applyAlignment="1">
      <alignment horizontal="center"/>
    </xf>
    <xf numFmtId="44" fontId="1" fillId="3" borderId="0" xfId="3" applyNumberFormat="1"/>
    <xf numFmtId="44" fontId="1" fillId="4" borderId="0" xfId="4" applyNumberFormat="1"/>
    <xf numFmtId="0" fontId="1" fillId="2" borderId="0" xfId="2"/>
    <xf numFmtId="0" fontId="0" fillId="0" borderId="0" xfId="0" applyAlignment="1">
      <alignment horizontal="left" indent="1"/>
    </xf>
    <xf numFmtId="44" fontId="0" fillId="0" borderId="0" xfId="1" applyFont="1" applyAlignment="1">
      <alignment horizontal="left" indent="1"/>
    </xf>
    <xf numFmtId="44" fontId="1" fillId="3" borderId="0" xfId="3" applyNumberFormat="1" applyAlignment="1">
      <alignment horizontal="left" indent="1"/>
    </xf>
    <xf numFmtId="44" fontId="0" fillId="0" borderId="1" xfId="1" applyFont="1" applyBorder="1" applyAlignment="1">
      <alignment horizontal="left" indent="1"/>
    </xf>
    <xf numFmtId="44" fontId="1" fillId="4" borderId="0" xfId="4" applyNumberFormat="1" applyAlignment="1">
      <alignment horizontal="left" indent="1"/>
    </xf>
    <xf numFmtId="0" fontId="0" fillId="0" borderId="0" xfId="0" applyAlignment="1">
      <alignment horizontal="right"/>
    </xf>
    <xf numFmtId="44" fontId="1" fillId="2" borderId="0" xfId="2" applyNumberFormat="1" applyAlignment="1">
      <alignment horizontal="left" indent="1"/>
    </xf>
    <xf numFmtId="0" fontId="0" fillId="5" borderId="0" xfId="0" applyFill="1"/>
    <xf numFmtId="44" fontId="0" fillId="5" borderId="0" xfId="1" applyFont="1" applyFill="1"/>
    <xf numFmtId="44" fontId="1" fillId="5" borderId="0" xfId="4" applyNumberFormat="1" applyFill="1"/>
    <xf numFmtId="44" fontId="1" fillId="5" borderId="0" xfId="3" applyNumberFormat="1" applyFill="1"/>
    <xf numFmtId="44" fontId="1" fillId="5" borderId="0" xfId="2" applyNumberFormat="1" applyFill="1" applyAlignment="1">
      <alignment horizontal="left" indent="1"/>
    </xf>
    <xf numFmtId="0" fontId="6" fillId="5" borderId="0" xfId="0" applyFont="1" applyFill="1" applyAlignment="1">
      <alignment horizontal="left"/>
    </xf>
    <xf numFmtId="44" fontId="7" fillId="5" borderId="0" xfId="1" applyFont="1" applyFill="1"/>
    <xf numFmtId="0" fontId="6" fillId="5" borderId="0" xfId="0" applyFont="1" applyFill="1"/>
    <xf numFmtId="44" fontId="5" fillId="5" borderId="0" xfId="1" applyFont="1" applyFill="1" applyAlignment="1">
      <alignment horizontal="center"/>
    </xf>
    <xf numFmtId="44" fontId="1" fillId="5" borderId="0" xfId="4" applyNumberFormat="1" applyFill="1" applyAlignment="1">
      <alignment horizontal="center"/>
    </xf>
    <xf numFmtId="0" fontId="2" fillId="0" borderId="0" xfId="0" applyFont="1" applyAlignment="1">
      <alignment horizontal="right"/>
    </xf>
    <xf numFmtId="0" fontId="2" fillId="5" borderId="0" xfId="0" applyFont="1" applyFill="1" applyAlignment="1">
      <alignment horizontal="left"/>
    </xf>
    <xf numFmtId="44" fontId="0" fillId="0" borderId="0" xfId="1" applyFont="1" applyFill="1"/>
    <xf numFmtId="44" fontId="1" fillId="0" borderId="0" xfId="3" applyNumberFormat="1" applyFill="1"/>
    <xf numFmtId="44" fontId="1" fillId="0" borderId="0" xfId="2" applyNumberFormat="1" applyFill="1" applyAlignment="1">
      <alignment horizontal="left" indent="1"/>
    </xf>
    <xf numFmtId="44" fontId="0" fillId="5" borderId="0" xfId="4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44" fontId="8" fillId="0" borderId="0" xfId="5" applyNumberFormat="1" applyFill="1" applyBorder="1"/>
    <xf numFmtId="0" fontId="10" fillId="6" borderId="0" xfId="5" applyFont="1" applyBorder="1" applyAlignment="1">
      <alignment horizontal="center" vertical="center"/>
    </xf>
    <xf numFmtId="44" fontId="5" fillId="7" borderId="0" xfId="1" applyFont="1" applyFill="1" applyAlignment="1">
      <alignment horizontal="center"/>
    </xf>
    <xf numFmtId="44" fontId="9" fillId="7" borderId="0" xfId="0" applyNumberFormat="1" applyFont="1" applyFill="1"/>
    <xf numFmtId="44" fontId="0" fillId="7" borderId="0" xfId="1" applyFont="1" applyFill="1" applyAlignment="1">
      <alignment horizontal="left" indent="1"/>
    </xf>
    <xf numFmtId="44" fontId="0" fillId="7" borderId="1" xfId="1" applyFont="1" applyFill="1" applyBorder="1" applyAlignment="1">
      <alignment horizontal="left" indent="1"/>
    </xf>
    <xf numFmtId="44" fontId="2" fillId="4" borderId="0" xfId="4" applyNumberFormat="1" applyFont="1"/>
    <xf numFmtId="44" fontId="2" fillId="8" borderId="0" xfId="1" applyFont="1" applyFill="1"/>
    <xf numFmtId="44" fontId="2" fillId="0" borderId="0" xfId="1" applyFont="1" applyAlignment="1">
      <alignment horizontal="left" indent="1"/>
    </xf>
    <xf numFmtId="44" fontId="2" fillId="7" borderId="0" xfId="1" applyFont="1" applyFill="1" applyAlignment="1">
      <alignment horizontal="left" indent="1"/>
    </xf>
    <xf numFmtId="44" fontId="0" fillId="8" borderId="0" xfId="1" applyFont="1" applyFill="1"/>
    <xf numFmtId="44" fontId="0" fillId="0" borderId="1" xfId="1" applyFont="1" applyFill="1" applyBorder="1"/>
    <xf numFmtId="44" fontId="0" fillId="8" borderId="1" xfId="1" applyFont="1" applyFill="1" applyBorder="1"/>
    <xf numFmtId="0" fontId="0" fillId="0" borderId="0" xfId="1" applyNumberFormat="1" applyFont="1"/>
    <xf numFmtId="9" fontId="0" fillId="0" borderId="0" xfId="1" applyNumberFormat="1" applyFont="1"/>
    <xf numFmtId="12" fontId="0" fillId="0" borderId="0" xfId="1" applyNumberFormat="1" applyFont="1"/>
    <xf numFmtId="0" fontId="2" fillId="0" borderId="0" xfId="0" applyFont="1"/>
    <xf numFmtId="1" fontId="0" fillId="0" borderId="0" xfId="1" applyNumberFormat="1" applyFont="1"/>
    <xf numFmtId="44" fontId="1" fillId="4" borderId="1" xfId="4" applyNumberFormat="1" applyBorder="1"/>
    <xf numFmtId="44" fontId="1" fillId="2" borderId="1" xfId="2" applyNumberFormat="1" applyBorder="1" applyAlignment="1">
      <alignment horizontal="left" indent="1"/>
    </xf>
    <xf numFmtId="44" fontId="2" fillId="4" borderId="0" xfId="4" applyNumberFormat="1" applyFont="1" applyAlignment="1">
      <alignment horizontal="left" indent="1"/>
    </xf>
    <xf numFmtId="44" fontId="2" fillId="2" borderId="0" xfId="2" applyNumberFormat="1" applyFont="1" applyAlignment="1">
      <alignment horizontal="left" indent="1"/>
    </xf>
    <xf numFmtId="44" fontId="1" fillId="3" borderId="1" xfId="3" applyNumberFormat="1" applyBorder="1" applyAlignment="1">
      <alignment horizontal="left" indent="1"/>
    </xf>
    <xf numFmtId="9" fontId="0" fillId="0" borderId="0" xfId="6" applyFont="1" applyAlignment="1">
      <alignment horizontal="left" indent="1"/>
    </xf>
    <xf numFmtId="44" fontId="11" fillId="0" borderId="0" xfId="1" applyFont="1"/>
    <xf numFmtId="44" fontId="12" fillId="0" borderId="0" xfId="1" applyFont="1" applyFill="1"/>
    <xf numFmtId="44" fontId="12" fillId="0" borderId="0" xfId="1" applyFont="1"/>
    <xf numFmtId="44" fontId="9" fillId="7" borderId="1" xfId="0" applyNumberFormat="1" applyFont="1" applyFill="1" applyBorder="1"/>
    <xf numFmtId="44" fontId="0" fillId="9" borderId="0" xfId="1" applyFont="1" applyFill="1"/>
    <xf numFmtId="44" fontId="0" fillId="0" borderId="0" xfId="1" applyFont="1" applyFill="1" applyBorder="1"/>
    <xf numFmtId="44" fontId="4" fillId="8" borderId="0" xfId="4" applyNumberFormat="1" applyFont="1" applyFill="1" applyAlignment="1">
      <alignment horizontal="center"/>
    </xf>
    <xf numFmtId="44" fontId="0" fillId="8" borderId="0" xfId="1" applyFont="1" applyFill="1" applyBorder="1"/>
    <xf numFmtId="0" fontId="10" fillId="0" borderId="0" xfId="5" applyFont="1" applyFill="1" applyBorder="1" applyAlignment="1">
      <alignment horizontal="center" vertical="center"/>
    </xf>
    <xf numFmtId="44" fontId="0" fillId="0" borderId="0" xfId="0" applyNumberFormat="1" applyAlignment="1">
      <alignment horizontal="left" indent="1"/>
    </xf>
    <xf numFmtId="14" fontId="0" fillId="0" borderId="0" xfId="0" applyNumberFormat="1"/>
    <xf numFmtId="0" fontId="13" fillId="0" borderId="0" xfId="0" applyFont="1" applyAlignment="1">
      <alignment horizontal="left"/>
    </xf>
    <xf numFmtId="0" fontId="15" fillId="10" borderId="0" xfId="5" applyFont="1" applyFill="1" applyBorder="1" applyAlignment="1">
      <alignment horizontal="center" vertical="center"/>
    </xf>
    <xf numFmtId="44" fontId="14" fillId="0" borderId="0" xfId="5" applyNumberFormat="1" applyFont="1" applyFill="1" applyBorder="1"/>
    <xf numFmtId="0" fontId="16" fillId="0" borderId="0" xfId="0" applyFont="1"/>
    <xf numFmtId="44" fontId="16" fillId="0" borderId="0" xfId="1" applyFont="1" applyFill="1" applyBorder="1"/>
    <xf numFmtId="44" fontId="13" fillId="0" borderId="0" xfId="1" applyFont="1" applyFill="1" applyBorder="1"/>
    <xf numFmtId="44" fontId="16" fillId="0" borderId="0" xfId="1" quotePrefix="1" applyFont="1" applyFill="1" applyBorder="1"/>
    <xf numFmtId="0" fontId="18" fillId="11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44" fontId="19" fillId="0" borderId="0" xfId="1" applyFont="1" applyFill="1" applyBorder="1" applyAlignment="1">
      <alignment horizontal="center"/>
    </xf>
    <xf numFmtId="44" fontId="19" fillId="12" borderId="0" xfId="1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44" fontId="16" fillId="0" borderId="0" xfId="1" applyFont="1" applyFill="1" applyBorder="1" applyAlignment="1">
      <alignment horizontal="left" indent="1"/>
    </xf>
    <xf numFmtId="44" fontId="20" fillId="12" borderId="0" xfId="0" applyNumberFormat="1" applyFont="1" applyFill="1"/>
    <xf numFmtId="44" fontId="16" fillId="12" borderId="0" xfId="1" applyFont="1" applyFill="1" applyBorder="1" applyAlignment="1">
      <alignment horizontal="left" indent="1"/>
    </xf>
    <xf numFmtId="44" fontId="16" fillId="0" borderId="1" xfId="1" applyFont="1" applyFill="1" applyBorder="1" applyAlignment="1">
      <alignment horizontal="left" indent="1"/>
    </xf>
    <xf numFmtId="44" fontId="20" fillId="12" borderId="1" xfId="0" applyNumberFormat="1" applyFont="1" applyFill="1" applyBorder="1"/>
    <xf numFmtId="44" fontId="16" fillId="12" borderId="1" xfId="1" applyFont="1" applyFill="1" applyBorder="1" applyAlignment="1">
      <alignment horizontal="left" indent="1"/>
    </xf>
    <xf numFmtId="0" fontId="13" fillId="0" borderId="0" xfId="0" applyFont="1" applyAlignment="1">
      <alignment horizontal="right" indent="1"/>
    </xf>
    <xf numFmtId="44" fontId="13" fillId="0" borderId="0" xfId="1" applyFont="1" applyFill="1" applyBorder="1" applyAlignment="1">
      <alignment horizontal="left" indent="1"/>
    </xf>
    <xf numFmtId="44" fontId="13" fillId="12" borderId="0" xfId="1" applyFont="1" applyFill="1" applyBorder="1" applyAlignment="1">
      <alignment horizontal="left" indent="1"/>
    </xf>
    <xf numFmtId="0" fontId="18" fillId="11" borderId="0" xfId="0" applyFont="1" applyFill="1"/>
    <xf numFmtId="0" fontId="16" fillId="11" borderId="0" xfId="0" applyFont="1" applyFill="1"/>
    <xf numFmtId="44" fontId="19" fillId="11" borderId="0" xfId="1" applyFont="1" applyFill="1" applyBorder="1" applyAlignment="1">
      <alignment horizontal="center"/>
    </xf>
    <xf numFmtId="44" fontId="16" fillId="11" borderId="0" xfId="4" applyNumberFormat="1" applyFont="1" applyFill="1" applyBorder="1" applyAlignment="1">
      <alignment horizontal="center"/>
    </xf>
    <xf numFmtId="44" fontId="17" fillId="11" borderId="0" xfId="4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44" fontId="17" fillId="13" borderId="0" xfId="4" applyNumberFormat="1" applyFont="1" applyFill="1" applyBorder="1"/>
    <xf numFmtId="0" fontId="13" fillId="0" borderId="0" xfId="0" applyFont="1" applyAlignment="1">
      <alignment horizontal="right"/>
    </xf>
    <xf numFmtId="44" fontId="13" fillId="14" borderId="0" xfId="1" applyFont="1" applyFill="1" applyBorder="1"/>
    <xf numFmtId="0" fontId="13" fillId="11" borderId="0" xfId="0" applyFont="1" applyFill="1" applyAlignment="1">
      <alignment horizontal="left"/>
    </xf>
    <xf numFmtId="44" fontId="16" fillId="11" borderId="0" xfId="1" applyFont="1" applyFill="1" applyBorder="1"/>
    <xf numFmtId="44" fontId="21" fillId="11" borderId="0" xfId="1" applyFont="1" applyFill="1" applyBorder="1"/>
    <xf numFmtId="44" fontId="17" fillId="11" borderId="0" xfId="4" applyNumberFormat="1" applyFont="1" applyFill="1" applyBorder="1"/>
    <xf numFmtId="44" fontId="13" fillId="13" borderId="0" xfId="4" applyNumberFormat="1" applyFont="1" applyFill="1" applyBorder="1"/>
    <xf numFmtId="44" fontId="16" fillId="14" borderId="0" xfId="1" applyFont="1" applyFill="1" applyBorder="1"/>
    <xf numFmtId="0" fontId="18" fillId="0" borderId="0" xfId="0" applyFont="1"/>
    <xf numFmtId="44" fontId="16" fillId="0" borderId="1" xfId="1" applyFont="1" applyFill="1" applyBorder="1"/>
    <xf numFmtId="44" fontId="16" fillId="14" borderId="1" xfId="1" applyFont="1" applyFill="1" applyBorder="1"/>
    <xf numFmtId="44" fontId="16" fillId="15" borderId="0" xfId="1" applyFont="1" applyFill="1" applyBorder="1"/>
    <xf numFmtId="0" fontId="16" fillId="0" borderId="0" xfId="1" applyNumberFormat="1" applyFont="1" applyFill="1" applyBorder="1"/>
    <xf numFmtId="0" fontId="13" fillId="0" borderId="0" xfId="0" applyFont="1"/>
    <xf numFmtId="9" fontId="16" fillId="0" borderId="0" xfId="1" applyNumberFormat="1" applyFont="1" applyFill="1" applyBorder="1"/>
    <xf numFmtId="12" fontId="16" fillId="0" borderId="0" xfId="1" applyNumberFormat="1" applyFont="1" applyFill="1" applyBorder="1"/>
    <xf numFmtId="1" fontId="16" fillId="0" borderId="0" xfId="1" applyNumberFormat="1" applyFont="1" applyFill="1" applyBorder="1"/>
    <xf numFmtId="0" fontId="2" fillId="0" borderId="0" xfId="0" applyFont="1" applyAlignment="1">
      <alignment horizontal="left"/>
    </xf>
    <xf numFmtId="0" fontId="6" fillId="5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8" fillId="11" borderId="0" xfId="0" applyFont="1" applyFill="1" applyAlignment="1">
      <alignment horizontal="left"/>
    </xf>
  </cellXfs>
  <cellStyles count="7">
    <cellStyle name="20% - Accent2" xfId="2" builtinId="34"/>
    <cellStyle name="20% - Accent4" xfId="3" builtinId="42"/>
    <cellStyle name="20% - Accent5" xfId="4" builtinId="46"/>
    <cellStyle name="Currency" xfId="1" builtinId="4"/>
    <cellStyle name="Good" xfId="5" builtinId="26"/>
    <cellStyle name="Normal" xfId="0" builtinId="0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mien Caldwell" id="{EF018C94-036E-D444-A4CF-332917112365}" userId="S::damien.caldwell@asgnational.com::9a4d520e-cb6b-4a18-a2c4-ebcebdcd41e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9" dT="2023-09-15T19:23:55.60" personId="{EF018C94-036E-D444-A4CF-332917112365}" id="{60D997C9-0D34-7142-91E3-3029C8A9D8F0}">
    <text>3v3 Basketball</text>
  </threadedComment>
  <threadedComment ref="K9" dT="2023-09-15T18:43:35.20" personId="{EF018C94-036E-D444-A4CF-332917112365}" id="{749CD5F5-5C83-B94D-970B-944C4077513B}">
    <text>Magic Masters
Dodge Ball Tournament</text>
  </threadedComment>
  <threadedComment ref="M9" dT="2023-09-15T19:24:39.67" personId="{EF018C94-036E-D444-A4CF-332917112365}" id="{FB96F258-62B1-DF47-B810-B6B95481721D}">
    <text>Volleyball Tournament</text>
  </threadedComment>
  <threadedComment ref="Q9" dT="2023-09-15T18:55:38.50" personId="{EF018C94-036E-D444-A4CF-332917112365}" id="{D891C5BB-F79A-DC4C-BEFB-B6B509BD649B}">
    <text>Altebrando Tournament - 1100
Awards Revenues - 10K</text>
  </threadedComment>
  <threadedComment ref="G10" dT="2023-09-15T18:40:24.21" personId="{EF018C94-036E-D444-A4CF-332917112365}" id="{5EEF834B-7369-FB46-9A51-8EC161765DC0}">
    <text>Homecoming &amp; Football Season</text>
  </threadedComment>
  <threadedComment ref="P10" dT="2023-09-15T19:24:57.17" personId="{EF018C94-036E-D444-A4CF-332917112365}" id="{9FF6646D-232C-0647-91FA-797AA055BFF8}">
    <text>MURPH</text>
  </threadedComment>
  <threadedComment ref="G14" dT="2023-09-15T18:40:38.77" personId="{EF018C94-036E-D444-A4CF-332917112365}" id="{C2B48A64-2F6C-5945-9F2D-6FEE043C3F75}">
    <text>Fall Raffle</text>
  </threadedComment>
  <threadedComment ref="O14" dT="2023-09-15T18:41:01.67" personId="{EF018C94-036E-D444-A4CF-332917112365}" id="{B95D7DBE-8BEB-D548-94E8-25039E5A0C01}">
    <text>Spring Raffle</text>
  </threadedComment>
  <threadedComment ref="K23" dT="2023-09-15T18:51:38.23" personId="{EF018C94-036E-D444-A4CF-332917112365}" id="{AC63F304-022C-8147-BB41-2BC9ADA89C0D}">
    <text>Dream Team Shirts &amp; Signage</text>
  </threadedComment>
  <threadedComment ref="P23" dT="2023-09-15T18:58:48.37" personId="{EF018C94-036E-D444-A4CF-332917112365}" id="{DF410FF1-CC4C-054E-AE96-8E20E7C7A505}">
    <text>Commitment Ceremony (hats, cake, refreshments)</text>
  </threadedComment>
  <threadedComment ref="Q23" dT="2023-09-15T18:54:03.38" personId="{EF018C94-036E-D444-A4CF-332917112365}" id="{36817808-D804-0345-9365-B22E8D63F3B1}">
    <text>Hall of Fame Awards</text>
  </threadedComment>
  <threadedComment ref="E26" dT="2023-09-15T18:50:18.45" personId="{EF018C94-036E-D444-A4CF-332917112365}" id="{05A5BB6B-6FBF-2C4A-9C2D-7C74D9E2078B}">
    <text>Start of Season Stocking</text>
  </threadedComment>
  <threadedComment ref="G26" dT="2023-09-15T18:50:34.08" personId="{EF018C94-036E-D444-A4CF-332917112365}" id="{29EA8F02-2E0B-0C42-A49D-6069B11A9685}">
    <text xml:space="preserve">Homecoming </text>
  </threadedComment>
  <threadedComment ref="K26" dT="2023-09-15T18:51:18.71" personId="{EF018C94-036E-D444-A4CF-332917112365}" id="{15755E23-F93B-EE47-91C8-6372806C6504}">
    <text>Magic Masters - North Gym
Dance Competition Catering</text>
  </threadedComment>
  <threadedComment ref="Q26" dT="2023-09-15T18:53:33.75" personId="{EF018C94-036E-D444-A4CF-332917112365}" id="{889072C8-69D0-7047-B531-1BC8DF6ADA7F}">
    <text>Altebrando Tournament</text>
  </threadedComment>
  <threadedComment ref="I39" dT="2023-09-15T19:21:06.89" personId="{EF018C94-036E-D444-A4CF-332917112365}" id="{E96A9F56-EBED-164F-A28F-BD2A0EF57E68}">
    <text>Holiday Dinner</text>
  </threadedComment>
  <threadedComment ref="A44" dT="2023-09-15T19:04:13.77" personId="{EF018C94-036E-D444-A4CF-332917112365}" id="{4CB82A4D-60FA-424A-9EBD-0E24B6C29D75}">
    <text>Includes Coach Requests and Annual Team allocations annualized (6K)</text>
  </threadedComment>
  <threadedComment ref="G44" dT="2023-09-15T19:02:29.51" personId="{EF018C94-036E-D444-A4CF-332917112365}" id="{807A7654-06E3-2C47-BB8D-758A88BA3BB4}">
    <text>Tent for Girls XC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4" dT="2022-08-16T01:18:55.13" personId="{EF018C94-036E-D444-A4CF-332917112365}" id="{518082A1-6B3B-471E-92A0-CA5E60F0D108}">
    <text>FedEx - Updated deposit forms for concession</text>
  </threadedComment>
  <threadedComment ref="C36" dT="2022-08-16T01:20:43.61" personId="{EF018C94-036E-D444-A4CF-332917112365}" id="{3ABFD755-B3F5-42E4-9399-54DE6A3627C5}">
    <text>Quickbooks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4"/>
  <sheetViews>
    <sheetView tabSelected="1" zoomScale="80" zoomScaleNormal="80" workbookViewId="0">
      <pane xSplit="1" topLeftCell="B1" activePane="topRight" state="frozen"/>
      <selection activeCell="A9" sqref="A9"/>
      <selection pane="topRight" activeCell="N59" sqref="N59"/>
    </sheetView>
  </sheetViews>
  <sheetFormatPr baseColWidth="10" defaultColWidth="8.83203125" defaultRowHeight="15" x14ac:dyDescent="0.2"/>
  <cols>
    <col min="1" max="1" width="30.5" customWidth="1"/>
    <col min="2" max="2" width="12.33203125" customWidth="1"/>
    <col min="3" max="4" width="13.5" style="1" customWidth="1"/>
    <col min="5" max="5" width="12.83203125" style="1" customWidth="1"/>
    <col min="6" max="6" width="13.5" style="1" customWidth="1"/>
    <col min="7" max="7" width="13.5" style="1" bestFit="1" customWidth="1"/>
    <col min="8" max="8" width="15.6640625" style="1" bestFit="1" customWidth="1"/>
    <col min="9" max="9" width="13.1640625" style="1" bestFit="1" customWidth="1"/>
    <col min="10" max="10" width="14.6640625" style="1" bestFit="1" customWidth="1"/>
    <col min="11" max="13" width="13.1640625" style="1" bestFit="1" customWidth="1"/>
    <col min="14" max="14" width="13.5" style="1" bestFit="1" customWidth="1"/>
    <col min="15" max="16" width="13.1640625" style="1" bestFit="1" customWidth="1"/>
    <col min="17" max="17" width="13.6640625" style="1" bestFit="1" customWidth="1"/>
    <col min="18" max="18" width="13.5" style="1" bestFit="1" customWidth="1"/>
    <col min="19" max="19" width="4" style="1" customWidth="1"/>
    <col min="20" max="20" width="14.5" style="1" customWidth="1"/>
    <col min="21" max="21" width="15.6640625" style="1" bestFit="1" customWidth="1"/>
    <col min="22" max="22" width="15.1640625" bestFit="1" customWidth="1"/>
    <col min="23" max="23" width="10.1640625" customWidth="1"/>
  </cols>
  <sheetData>
    <row r="1" spans="1:23" x14ac:dyDescent="0.2">
      <c r="A1" s="38" t="s">
        <v>51</v>
      </c>
      <c r="B1" s="40" t="s">
        <v>63</v>
      </c>
      <c r="C1" s="39"/>
      <c r="D1" s="39"/>
      <c r="E1"/>
      <c r="F1"/>
      <c r="G1"/>
      <c r="H1"/>
    </row>
    <row r="2" spans="1:23" x14ac:dyDescent="0.2">
      <c r="A2" s="119"/>
      <c r="B2" s="119"/>
      <c r="D2" s="2"/>
      <c r="E2" s="3"/>
    </row>
    <row r="3" spans="1:23" x14ac:dyDescent="0.2">
      <c r="A3" s="119"/>
      <c r="B3" s="119"/>
      <c r="T3" s="1" t="s">
        <v>49</v>
      </c>
    </row>
    <row r="4" spans="1:23" ht="18" x14ac:dyDescent="0.35">
      <c r="A4" s="120" t="s">
        <v>19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4"/>
      <c r="T4" s="5" t="s">
        <v>0</v>
      </c>
      <c r="U4" s="6" t="s">
        <v>1</v>
      </c>
      <c r="V4" s="7" t="s">
        <v>2</v>
      </c>
      <c r="W4" t="s">
        <v>50</v>
      </c>
    </row>
    <row r="5" spans="1:23" x14ac:dyDescent="0.2">
      <c r="A5" s="8"/>
      <c r="B5" s="8"/>
      <c r="C5" s="9" t="s">
        <v>64</v>
      </c>
      <c r="D5" s="9" t="s">
        <v>65</v>
      </c>
      <c r="E5" s="9" t="s">
        <v>66</v>
      </c>
      <c r="F5" s="41" t="s">
        <v>3</v>
      </c>
      <c r="G5" s="9" t="s">
        <v>67</v>
      </c>
      <c r="H5" s="9" t="s">
        <v>68</v>
      </c>
      <c r="I5" s="9" t="s">
        <v>69</v>
      </c>
      <c r="J5" s="41" t="s">
        <v>4</v>
      </c>
      <c r="K5" s="9" t="s">
        <v>70</v>
      </c>
      <c r="L5" s="9" t="s">
        <v>71</v>
      </c>
      <c r="M5" s="9" t="s">
        <v>72</v>
      </c>
      <c r="N5" s="41" t="s">
        <v>5</v>
      </c>
      <c r="O5" s="9" t="s">
        <v>73</v>
      </c>
      <c r="P5" s="9" t="s">
        <v>74</v>
      </c>
      <c r="Q5" s="9" t="s">
        <v>75</v>
      </c>
      <c r="R5" s="41" t="s">
        <v>6</v>
      </c>
      <c r="T5" s="10"/>
      <c r="U5" s="11"/>
      <c r="V5" s="12"/>
    </row>
    <row r="6" spans="1:23" s="13" customFormat="1" ht="16" x14ac:dyDescent="0.2">
      <c r="A6" s="13" t="s">
        <v>23</v>
      </c>
      <c r="C6" s="14"/>
      <c r="D6" s="14"/>
      <c r="E6" s="14">
        <v>1000</v>
      </c>
      <c r="F6" s="42">
        <f>SUM(C6:E6)</f>
        <v>1000</v>
      </c>
      <c r="G6" s="14">
        <v>750</v>
      </c>
      <c r="H6" s="14">
        <v>750</v>
      </c>
      <c r="I6" s="14">
        <v>1000</v>
      </c>
      <c r="J6" s="43">
        <f>SUM(G6:I6)</f>
        <v>2500</v>
      </c>
      <c r="K6" s="14">
        <v>500</v>
      </c>
      <c r="L6" s="14">
        <v>500</v>
      </c>
      <c r="M6" s="14">
        <v>1000</v>
      </c>
      <c r="N6" s="43">
        <f>SUM(K6:M6)</f>
        <v>2000</v>
      </c>
      <c r="O6" s="14">
        <v>300</v>
      </c>
      <c r="P6" s="14"/>
      <c r="Q6" s="14">
        <v>200</v>
      </c>
      <c r="R6" s="43">
        <f>SUM(O6:Q6)</f>
        <v>500</v>
      </c>
      <c r="S6" s="14"/>
      <c r="T6" s="15"/>
      <c r="U6" s="11">
        <f t="shared" ref="U6:U17" si="0">F6+J6+N6+R6</f>
        <v>6000</v>
      </c>
      <c r="V6" s="19">
        <f>T6-U6</f>
        <v>-6000</v>
      </c>
    </row>
    <row r="7" spans="1:23" s="13" customFormat="1" ht="16" x14ac:dyDescent="0.2">
      <c r="A7" s="13" t="s">
        <v>22</v>
      </c>
      <c r="C7" s="14"/>
      <c r="D7" s="14"/>
      <c r="E7" s="14">
        <v>1000</v>
      </c>
      <c r="F7" s="42">
        <f t="shared" ref="F7:F17" si="1">SUM(C7:E7)</f>
        <v>1000</v>
      </c>
      <c r="G7" s="14">
        <v>500</v>
      </c>
      <c r="H7" s="14"/>
      <c r="I7" s="14">
        <v>300</v>
      </c>
      <c r="J7" s="43">
        <f t="shared" ref="J7:J17" si="2">SUM(G7:I7)</f>
        <v>800</v>
      </c>
      <c r="K7" s="14">
        <v>300</v>
      </c>
      <c r="L7" s="14"/>
      <c r="M7" s="14"/>
      <c r="N7" s="43">
        <f t="shared" ref="N7:N17" si="3">SUM(K7:M7)</f>
        <v>300</v>
      </c>
      <c r="O7" s="14">
        <v>300</v>
      </c>
      <c r="P7" s="14"/>
      <c r="Q7" s="14">
        <v>500</v>
      </c>
      <c r="R7" s="43">
        <f t="shared" ref="R7:R16" si="4">SUM(O7:Q7)</f>
        <v>800</v>
      </c>
      <c r="S7" s="14"/>
      <c r="T7" s="15"/>
      <c r="U7" s="11">
        <f t="shared" si="0"/>
        <v>2900</v>
      </c>
      <c r="V7" s="19">
        <f t="shared" ref="V7:V16" si="5">T7-U7</f>
        <v>-2900</v>
      </c>
    </row>
    <row r="8" spans="1:23" s="13" customFormat="1" ht="16" x14ac:dyDescent="0.2">
      <c r="A8" s="13" t="s">
        <v>20</v>
      </c>
      <c r="C8" s="14"/>
      <c r="D8" s="14"/>
      <c r="E8" s="14"/>
      <c r="F8" s="42">
        <f t="shared" si="1"/>
        <v>0</v>
      </c>
      <c r="G8" s="14"/>
      <c r="H8" s="14"/>
      <c r="I8" s="14"/>
      <c r="J8" s="43">
        <f t="shared" si="2"/>
        <v>0</v>
      </c>
      <c r="K8" s="14"/>
      <c r="L8" s="14"/>
      <c r="M8" s="14"/>
      <c r="N8" s="43">
        <f t="shared" si="3"/>
        <v>0</v>
      </c>
      <c r="O8" s="14"/>
      <c r="P8" s="14"/>
      <c r="Q8" s="14">
        <v>150</v>
      </c>
      <c r="R8" s="43">
        <f t="shared" si="4"/>
        <v>150</v>
      </c>
      <c r="S8" s="14"/>
      <c r="T8" s="15"/>
      <c r="U8" s="11">
        <f t="shared" si="0"/>
        <v>150</v>
      </c>
      <c r="V8" s="19">
        <f t="shared" si="5"/>
        <v>-150</v>
      </c>
    </row>
    <row r="9" spans="1:23" s="13" customFormat="1" ht="16" x14ac:dyDescent="0.2">
      <c r="A9" s="13" t="s">
        <v>21</v>
      </c>
      <c r="C9" s="14"/>
      <c r="D9" s="14"/>
      <c r="E9" s="14"/>
      <c r="F9" s="42"/>
      <c r="G9" s="14"/>
      <c r="H9" s="14">
        <v>750</v>
      </c>
      <c r="I9" s="14"/>
      <c r="J9" s="43">
        <f t="shared" si="2"/>
        <v>750</v>
      </c>
      <c r="K9" s="14">
        <v>12000</v>
      </c>
      <c r="L9" s="14"/>
      <c r="M9" s="14">
        <v>1000</v>
      </c>
      <c r="N9" s="43">
        <f t="shared" si="3"/>
        <v>13000</v>
      </c>
      <c r="O9" s="14"/>
      <c r="P9" s="14">
        <v>1500</v>
      </c>
      <c r="Q9" s="14">
        <v>12000</v>
      </c>
      <c r="R9" s="43">
        <f t="shared" si="4"/>
        <v>13500</v>
      </c>
      <c r="S9" s="14"/>
      <c r="T9" s="15"/>
      <c r="U9" s="11">
        <f t="shared" si="0"/>
        <v>27250</v>
      </c>
      <c r="V9" s="19">
        <f t="shared" si="5"/>
        <v>-27250</v>
      </c>
    </row>
    <row r="10" spans="1:23" s="13" customFormat="1" ht="16" x14ac:dyDescent="0.2">
      <c r="A10" s="13" t="s">
        <v>24</v>
      </c>
      <c r="C10" s="14">
        <v>4000</v>
      </c>
      <c r="D10" s="14"/>
      <c r="E10" s="14">
        <v>750</v>
      </c>
      <c r="F10" s="42">
        <f t="shared" si="1"/>
        <v>4750</v>
      </c>
      <c r="G10" s="14">
        <v>12000</v>
      </c>
      <c r="H10" s="14">
        <v>2000</v>
      </c>
      <c r="I10" s="14">
        <v>750</v>
      </c>
      <c r="J10" s="43">
        <f t="shared" si="2"/>
        <v>14750</v>
      </c>
      <c r="K10" s="14">
        <v>2500</v>
      </c>
      <c r="L10" s="14">
        <v>750</v>
      </c>
      <c r="M10" s="14">
        <v>1000</v>
      </c>
      <c r="N10" s="43">
        <f t="shared" si="3"/>
        <v>4250</v>
      </c>
      <c r="O10" s="14">
        <v>1000</v>
      </c>
      <c r="P10" s="14">
        <v>1000</v>
      </c>
      <c r="Q10" s="14">
        <v>3000</v>
      </c>
      <c r="R10" s="43">
        <f t="shared" si="4"/>
        <v>5000</v>
      </c>
      <c r="S10" s="14"/>
      <c r="T10" s="15"/>
      <c r="U10" s="11">
        <f t="shared" si="0"/>
        <v>28750</v>
      </c>
      <c r="V10" s="19">
        <f t="shared" si="5"/>
        <v>-28750</v>
      </c>
    </row>
    <row r="11" spans="1:23" s="13" customFormat="1" ht="16" x14ac:dyDescent="0.2">
      <c r="A11" s="13" t="s">
        <v>25</v>
      </c>
      <c r="C11" s="14"/>
      <c r="D11" s="14"/>
      <c r="E11" s="14"/>
      <c r="F11" s="42">
        <f t="shared" si="1"/>
        <v>0</v>
      </c>
      <c r="G11" s="14"/>
      <c r="H11" s="14"/>
      <c r="I11" s="14"/>
      <c r="J11" s="43">
        <f t="shared" si="2"/>
        <v>0</v>
      </c>
      <c r="K11" s="14"/>
      <c r="L11" s="14"/>
      <c r="M11" s="14"/>
      <c r="N11" s="43">
        <f t="shared" si="3"/>
        <v>0</v>
      </c>
      <c r="O11" s="14"/>
      <c r="P11" s="14"/>
      <c r="Q11" s="14"/>
      <c r="R11" s="43">
        <f t="shared" si="4"/>
        <v>0</v>
      </c>
      <c r="S11" s="14"/>
      <c r="T11" s="15"/>
      <c r="U11" s="11">
        <f t="shared" si="0"/>
        <v>0</v>
      </c>
      <c r="V11" s="19">
        <f t="shared" si="5"/>
        <v>0</v>
      </c>
    </row>
    <row r="12" spans="1:23" s="13" customFormat="1" ht="16" x14ac:dyDescent="0.2">
      <c r="A12" s="13" t="s">
        <v>26</v>
      </c>
      <c r="C12" s="14"/>
      <c r="D12" s="14"/>
      <c r="E12" s="14"/>
      <c r="F12" s="42">
        <f t="shared" si="1"/>
        <v>0</v>
      </c>
      <c r="G12" s="14">
        <v>2000</v>
      </c>
      <c r="H12" s="14">
        <v>500</v>
      </c>
      <c r="I12" s="14">
        <v>500</v>
      </c>
      <c r="J12" s="43">
        <f t="shared" si="2"/>
        <v>3000</v>
      </c>
      <c r="K12" s="14"/>
      <c r="L12" s="14"/>
      <c r="M12" s="14">
        <v>500</v>
      </c>
      <c r="N12" s="43">
        <f t="shared" si="3"/>
        <v>500</v>
      </c>
      <c r="O12" s="14">
        <v>500</v>
      </c>
      <c r="P12" s="14"/>
      <c r="Q12" s="14"/>
      <c r="R12" s="43">
        <f t="shared" si="4"/>
        <v>500</v>
      </c>
      <c r="S12" s="14"/>
      <c r="T12" s="15"/>
      <c r="U12" s="11">
        <f t="shared" si="0"/>
        <v>4000</v>
      </c>
      <c r="V12" s="19">
        <f t="shared" si="5"/>
        <v>-4000</v>
      </c>
    </row>
    <row r="13" spans="1:23" s="13" customFormat="1" ht="16" x14ac:dyDescent="0.2">
      <c r="A13" s="13" t="s">
        <v>27</v>
      </c>
      <c r="C13" s="14"/>
      <c r="D13" s="14"/>
      <c r="E13" s="14"/>
      <c r="F13" s="42">
        <f t="shared" si="1"/>
        <v>0</v>
      </c>
      <c r="G13" s="14">
        <v>500</v>
      </c>
      <c r="H13" s="14">
        <v>150</v>
      </c>
      <c r="I13" s="14">
        <v>100</v>
      </c>
      <c r="J13" s="43">
        <f t="shared" si="2"/>
        <v>750</v>
      </c>
      <c r="K13" s="14"/>
      <c r="L13" s="14"/>
      <c r="M13" s="14"/>
      <c r="N13" s="43">
        <f t="shared" si="3"/>
        <v>0</v>
      </c>
      <c r="O13" s="14"/>
      <c r="P13" s="14"/>
      <c r="Q13" s="14"/>
      <c r="R13" s="43">
        <f t="shared" si="4"/>
        <v>0</v>
      </c>
      <c r="S13" s="14"/>
      <c r="T13" s="15"/>
      <c r="U13" s="11">
        <f t="shared" si="0"/>
        <v>750</v>
      </c>
      <c r="V13" s="19">
        <f t="shared" si="5"/>
        <v>-750</v>
      </c>
    </row>
    <row r="14" spans="1:23" s="13" customFormat="1" ht="16" x14ac:dyDescent="0.2">
      <c r="A14" s="13" t="s">
        <v>28</v>
      </c>
      <c r="C14" s="14"/>
      <c r="D14" s="14"/>
      <c r="E14" s="14"/>
      <c r="F14" s="42">
        <f t="shared" si="1"/>
        <v>0</v>
      </c>
      <c r="G14" s="14">
        <v>10000</v>
      </c>
      <c r="H14" s="14"/>
      <c r="I14" s="14"/>
      <c r="J14" s="43">
        <f t="shared" si="2"/>
        <v>10000</v>
      </c>
      <c r="K14" s="14"/>
      <c r="L14" s="14"/>
      <c r="M14" s="14"/>
      <c r="N14" s="43">
        <f t="shared" si="3"/>
        <v>0</v>
      </c>
      <c r="O14" s="14">
        <v>7500</v>
      </c>
      <c r="P14" s="14">
        <v>500</v>
      </c>
      <c r="Q14" s="14"/>
      <c r="R14" s="43">
        <f t="shared" si="4"/>
        <v>8000</v>
      </c>
      <c r="S14" s="14"/>
      <c r="T14" s="15"/>
      <c r="U14" s="11">
        <f t="shared" si="0"/>
        <v>18000</v>
      </c>
      <c r="V14" s="19">
        <f t="shared" si="5"/>
        <v>-18000</v>
      </c>
    </row>
    <row r="15" spans="1:23" s="13" customFormat="1" ht="16" x14ac:dyDescent="0.2">
      <c r="A15" s="13" t="s">
        <v>16</v>
      </c>
      <c r="C15" s="14"/>
      <c r="D15" s="14"/>
      <c r="E15" s="14"/>
      <c r="F15" s="42">
        <f t="shared" si="1"/>
        <v>0</v>
      </c>
      <c r="G15" s="14"/>
      <c r="H15" s="14"/>
      <c r="I15" s="14"/>
      <c r="J15" s="43">
        <f t="shared" si="2"/>
        <v>0</v>
      </c>
      <c r="K15" s="14">
        <v>200</v>
      </c>
      <c r="L15" s="14"/>
      <c r="M15" s="14"/>
      <c r="N15" s="43">
        <f t="shared" si="3"/>
        <v>200</v>
      </c>
      <c r="O15" s="14"/>
      <c r="P15" s="14"/>
      <c r="Q15" s="14">
        <v>500</v>
      </c>
      <c r="R15" s="43">
        <f t="shared" si="4"/>
        <v>500</v>
      </c>
      <c r="S15" s="14"/>
      <c r="T15" s="15"/>
      <c r="U15" s="11">
        <f t="shared" si="0"/>
        <v>700</v>
      </c>
      <c r="V15" s="19">
        <f t="shared" si="5"/>
        <v>-700</v>
      </c>
    </row>
    <row r="16" spans="1:23" s="13" customFormat="1" ht="16" x14ac:dyDescent="0.2">
      <c r="C16" s="14"/>
      <c r="D16" s="14"/>
      <c r="E16" s="14"/>
      <c r="F16" s="42">
        <f t="shared" si="1"/>
        <v>0</v>
      </c>
      <c r="G16" s="14"/>
      <c r="H16" s="14"/>
      <c r="I16" s="14"/>
      <c r="J16" s="43">
        <f t="shared" si="2"/>
        <v>0</v>
      </c>
      <c r="K16" s="14"/>
      <c r="L16" s="14"/>
      <c r="M16" s="14"/>
      <c r="N16" s="43">
        <f t="shared" si="3"/>
        <v>0</v>
      </c>
      <c r="O16" s="14"/>
      <c r="P16" s="14"/>
      <c r="Q16" s="14"/>
      <c r="R16" s="43">
        <f t="shared" si="4"/>
        <v>0</v>
      </c>
      <c r="S16" s="14"/>
      <c r="T16" s="15"/>
      <c r="U16" s="11">
        <f t="shared" si="0"/>
        <v>0</v>
      </c>
      <c r="V16" s="19">
        <f t="shared" si="5"/>
        <v>0</v>
      </c>
    </row>
    <row r="17" spans="1:23" s="13" customFormat="1" ht="16" x14ac:dyDescent="0.2">
      <c r="C17" s="16"/>
      <c r="D17" s="16"/>
      <c r="E17" s="16"/>
      <c r="F17" s="66">
        <f t="shared" si="1"/>
        <v>0</v>
      </c>
      <c r="G17" s="16"/>
      <c r="H17" s="16"/>
      <c r="I17" s="16"/>
      <c r="J17" s="44">
        <f t="shared" si="2"/>
        <v>0</v>
      </c>
      <c r="K17" s="16"/>
      <c r="L17" s="16"/>
      <c r="M17" s="16"/>
      <c r="N17" s="44">
        <f t="shared" si="3"/>
        <v>0</v>
      </c>
      <c r="O17" s="16"/>
      <c r="P17" s="16"/>
      <c r="Q17" s="16"/>
      <c r="R17" s="44">
        <f t="shared" ref="R17" si="6">SUM(O17:Q17)</f>
        <v>0</v>
      </c>
      <c r="S17" s="14"/>
      <c r="T17" s="61"/>
      <c r="U17" s="57">
        <f t="shared" si="0"/>
        <v>0</v>
      </c>
      <c r="V17" s="58">
        <f t="shared" ref="V17:V49" si="7">T17-U17</f>
        <v>0</v>
      </c>
    </row>
    <row r="18" spans="1:23" s="13" customFormat="1" x14ac:dyDescent="0.2">
      <c r="A18" s="37" t="s">
        <v>9</v>
      </c>
      <c r="C18" s="47">
        <f t="shared" ref="C18:R18" si="8">SUM(C6:C17)</f>
        <v>4000</v>
      </c>
      <c r="D18" s="47">
        <f t="shared" si="8"/>
        <v>0</v>
      </c>
      <c r="E18" s="47">
        <f t="shared" si="8"/>
        <v>2750</v>
      </c>
      <c r="F18" s="48">
        <f t="shared" si="8"/>
        <v>6750</v>
      </c>
      <c r="G18" s="47">
        <f t="shared" si="8"/>
        <v>25750</v>
      </c>
      <c r="H18" s="47">
        <f t="shared" si="8"/>
        <v>4150</v>
      </c>
      <c r="I18" s="47">
        <f t="shared" si="8"/>
        <v>2650</v>
      </c>
      <c r="J18" s="48">
        <f t="shared" si="8"/>
        <v>32550</v>
      </c>
      <c r="K18" s="47">
        <f t="shared" si="8"/>
        <v>15500</v>
      </c>
      <c r="L18" s="47">
        <f t="shared" si="8"/>
        <v>1250</v>
      </c>
      <c r="M18" s="47">
        <f t="shared" si="8"/>
        <v>3500</v>
      </c>
      <c r="N18" s="48">
        <f t="shared" si="8"/>
        <v>20250</v>
      </c>
      <c r="O18" s="47">
        <f t="shared" si="8"/>
        <v>9600</v>
      </c>
      <c r="P18" s="47">
        <f t="shared" si="8"/>
        <v>3000</v>
      </c>
      <c r="Q18" s="47">
        <f t="shared" si="8"/>
        <v>16350</v>
      </c>
      <c r="R18" s="48">
        <f t="shared" si="8"/>
        <v>28950</v>
      </c>
      <c r="S18" s="14"/>
      <c r="T18" s="59">
        <f>SUM(T6:T17)</f>
        <v>0</v>
      </c>
      <c r="U18" s="59">
        <f>SUM(U6:U17)</f>
        <v>88500</v>
      </c>
      <c r="V18" s="60">
        <f t="shared" si="7"/>
        <v>-88500</v>
      </c>
      <c r="W18" s="62">
        <f>V18/U18</f>
        <v>-1</v>
      </c>
    </row>
    <row r="19" spans="1:23" s="13" customFormat="1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  <c r="U19" s="17"/>
      <c r="V19" s="19">
        <f t="shared" si="7"/>
        <v>0</v>
      </c>
    </row>
    <row r="20" spans="1:23" s="13" customFormat="1" x14ac:dyDescent="0.2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7"/>
      <c r="V20" s="19">
        <f t="shared" si="7"/>
        <v>0</v>
      </c>
    </row>
    <row r="21" spans="1:23" x14ac:dyDescent="0.2">
      <c r="A21" s="27" t="s">
        <v>29</v>
      </c>
      <c r="B21" s="20"/>
      <c r="C21" s="28" t="s">
        <v>64</v>
      </c>
      <c r="D21" s="28" t="s">
        <v>65</v>
      </c>
      <c r="E21" s="28" t="s">
        <v>66</v>
      </c>
      <c r="F21" s="35" t="s">
        <v>3</v>
      </c>
      <c r="G21" s="28" t="s">
        <v>67</v>
      </c>
      <c r="H21" s="28" t="s">
        <v>68</v>
      </c>
      <c r="I21" s="28" t="s">
        <v>69</v>
      </c>
      <c r="J21" s="29" t="s">
        <v>4</v>
      </c>
      <c r="K21" s="28" t="s">
        <v>70</v>
      </c>
      <c r="L21" s="28" t="s">
        <v>71</v>
      </c>
      <c r="M21" s="28" t="s">
        <v>72</v>
      </c>
      <c r="N21" s="29" t="s">
        <v>5</v>
      </c>
      <c r="O21" s="28" t="s">
        <v>73</v>
      </c>
      <c r="P21" s="28" t="s">
        <v>74</v>
      </c>
      <c r="Q21" s="28" t="s">
        <v>75</v>
      </c>
      <c r="R21" s="29" t="s">
        <v>6</v>
      </c>
      <c r="S21" s="21"/>
      <c r="T21" s="23"/>
      <c r="U21" s="22"/>
      <c r="V21" s="24">
        <f t="shared" si="7"/>
        <v>0</v>
      </c>
    </row>
    <row r="22" spans="1:23" x14ac:dyDescent="0.2">
      <c r="A22" s="18" t="s">
        <v>30</v>
      </c>
      <c r="E22" s="1">
        <v>1000</v>
      </c>
      <c r="F22" s="11">
        <f>SUM(C22:E22)</f>
        <v>1000</v>
      </c>
      <c r="G22" s="1">
        <v>300</v>
      </c>
      <c r="J22" s="11">
        <f t="shared" ref="J22:J25" si="9">SUM(G22:I22)</f>
        <v>300</v>
      </c>
      <c r="M22" s="1">
        <v>210</v>
      </c>
      <c r="N22" s="11">
        <f t="shared" ref="N22:N31" si="10">SUM(K22:M22)</f>
        <v>210</v>
      </c>
      <c r="R22" s="11">
        <f t="shared" ref="R22:R31" si="11">SUM(O22:Q22)</f>
        <v>0</v>
      </c>
      <c r="T22" s="10"/>
      <c r="U22" s="11">
        <f t="shared" ref="U22:U31" si="12">F22+J22+N22+R22</f>
        <v>1510</v>
      </c>
      <c r="V22" s="19">
        <f t="shared" si="7"/>
        <v>-1510</v>
      </c>
    </row>
    <row r="23" spans="1:23" x14ac:dyDescent="0.2">
      <c r="A23" s="18" t="s">
        <v>34</v>
      </c>
      <c r="F23" s="11">
        <f t="shared" ref="F23:F31" si="13">SUM(C23:E23)</f>
        <v>0</v>
      </c>
      <c r="G23" s="1">
        <v>150</v>
      </c>
      <c r="H23" s="1">
        <v>150</v>
      </c>
      <c r="I23" s="1">
        <v>0</v>
      </c>
      <c r="J23" s="11">
        <f t="shared" si="9"/>
        <v>300</v>
      </c>
      <c r="K23" s="1">
        <v>1500</v>
      </c>
      <c r="M23" s="1">
        <v>150</v>
      </c>
      <c r="N23" s="11">
        <f t="shared" si="10"/>
        <v>1650</v>
      </c>
      <c r="O23" s="1">
        <v>150</v>
      </c>
      <c r="P23" s="1">
        <v>1000</v>
      </c>
      <c r="Q23" s="1">
        <v>11000</v>
      </c>
      <c r="R23" s="11">
        <f t="shared" si="11"/>
        <v>12150</v>
      </c>
      <c r="T23" s="10"/>
      <c r="U23" s="11">
        <f t="shared" si="12"/>
        <v>14100</v>
      </c>
      <c r="V23" s="19">
        <f t="shared" si="7"/>
        <v>-14100</v>
      </c>
    </row>
    <row r="24" spans="1:23" x14ac:dyDescent="0.2">
      <c r="A24" s="18" t="s">
        <v>52</v>
      </c>
      <c r="F24" s="11">
        <f t="shared" si="13"/>
        <v>0</v>
      </c>
      <c r="J24" s="11">
        <f t="shared" si="9"/>
        <v>0</v>
      </c>
      <c r="N24" s="11">
        <f t="shared" si="10"/>
        <v>0</v>
      </c>
      <c r="Q24" s="1">
        <v>350</v>
      </c>
      <c r="R24" s="11">
        <f t="shared" si="11"/>
        <v>350</v>
      </c>
      <c r="T24" s="10"/>
      <c r="U24" s="11">
        <f t="shared" si="12"/>
        <v>350</v>
      </c>
      <c r="V24" s="19">
        <f t="shared" si="7"/>
        <v>-350</v>
      </c>
    </row>
    <row r="25" spans="1:23" x14ac:dyDescent="0.2">
      <c r="A25" s="18" t="s">
        <v>36</v>
      </c>
      <c r="E25" s="1">
        <v>800</v>
      </c>
      <c r="F25" s="11">
        <f t="shared" si="13"/>
        <v>800</v>
      </c>
      <c r="J25" s="11">
        <f t="shared" si="9"/>
        <v>0</v>
      </c>
      <c r="M25" s="1">
        <v>800</v>
      </c>
      <c r="N25" s="11">
        <f t="shared" si="10"/>
        <v>800</v>
      </c>
      <c r="R25" s="11">
        <f t="shared" si="11"/>
        <v>0</v>
      </c>
      <c r="T25" s="10"/>
      <c r="U25" s="11">
        <f t="shared" si="12"/>
        <v>1600</v>
      </c>
      <c r="V25" s="19">
        <f t="shared" si="7"/>
        <v>-1600</v>
      </c>
    </row>
    <row r="26" spans="1:23" x14ac:dyDescent="0.2">
      <c r="A26" s="18" t="s">
        <v>37</v>
      </c>
      <c r="C26" s="1">
        <v>1200</v>
      </c>
      <c r="E26" s="1">
        <v>2000</v>
      </c>
      <c r="F26" s="11">
        <f t="shared" si="13"/>
        <v>3200</v>
      </c>
      <c r="G26" s="1">
        <v>2500</v>
      </c>
      <c r="H26" s="1">
        <v>1000</v>
      </c>
      <c r="I26" s="1">
        <v>400</v>
      </c>
      <c r="J26" s="11">
        <f>SUM(G26:I26)</f>
        <v>3900</v>
      </c>
      <c r="K26" s="1">
        <v>1100</v>
      </c>
      <c r="L26" s="1">
        <v>400</v>
      </c>
      <c r="M26" s="1">
        <v>400</v>
      </c>
      <c r="N26" s="11">
        <f t="shared" si="10"/>
        <v>1900</v>
      </c>
      <c r="O26" s="1">
        <v>2500</v>
      </c>
      <c r="Q26" s="1">
        <v>3000</v>
      </c>
      <c r="R26" s="11">
        <f t="shared" si="11"/>
        <v>5500</v>
      </c>
      <c r="T26" s="10"/>
      <c r="U26" s="11">
        <f t="shared" si="12"/>
        <v>14500</v>
      </c>
      <c r="V26" s="19">
        <f t="shared" si="7"/>
        <v>-14500</v>
      </c>
    </row>
    <row r="27" spans="1:23" x14ac:dyDescent="0.2">
      <c r="A27" s="18" t="s">
        <v>26</v>
      </c>
      <c r="E27" s="1">
        <v>1500</v>
      </c>
      <c r="F27" s="11">
        <f t="shared" si="13"/>
        <v>1500</v>
      </c>
      <c r="J27" s="11">
        <f t="shared" ref="J27:J31" si="14">SUM(G27:I27)</f>
        <v>0</v>
      </c>
      <c r="K27" s="63"/>
      <c r="N27" s="11">
        <f t="shared" si="10"/>
        <v>0</v>
      </c>
      <c r="R27" s="11">
        <f t="shared" si="11"/>
        <v>0</v>
      </c>
      <c r="T27" s="10"/>
      <c r="U27" s="11">
        <f t="shared" si="12"/>
        <v>1500</v>
      </c>
      <c r="V27" s="19">
        <f t="shared" si="7"/>
        <v>-1500</v>
      </c>
    </row>
    <row r="28" spans="1:23" x14ac:dyDescent="0.2">
      <c r="A28" s="18" t="s">
        <v>27</v>
      </c>
      <c r="E28" s="1">
        <v>1500</v>
      </c>
      <c r="F28" s="11">
        <f t="shared" si="13"/>
        <v>1500</v>
      </c>
      <c r="J28" s="11">
        <f t="shared" si="14"/>
        <v>0</v>
      </c>
      <c r="N28" s="11">
        <f t="shared" si="10"/>
        <v>0</v>
      </c>
      <c r="R28" s="11">
        <f t="shared" si="11"/>
        <v>0</v>
      </c>
      <c r="T28" s="10"/>
      <c r="U28" s="11">
        <f t="shared" si="12"/>
        <v>1500</v>
      </c>
      <c r="V28" s="19">
        <f t="shared" si="7"/>
        <v>-1500</v>
      </c>
    </row>
    <row r="29" spans="1:23" x14ac:dyDescent="0.2">
      <c r="A29" s="18" t="s">
        <v>39</v>
      </c>
      <c r="F29" s="11">
        <f t="shared" si="13"/>
        <v>0</v>
      </c>
      <c r="H29" s="1">
        <v>1000</v>
      </c>
      <c r="I29" s="1">
        <v>500</v>
      </c>
      <c r="J29" s="11">
        <f t="shared" si="14"/>
        <v>1500</v>
      </c>
      <c r="M29" s="1">
        <v>1500</v>
      </c>
      <c r="N29" s="11">
        <f t="shared" si="10"/>
        <v>1500</v>
      </c>
      <c r="R29" s="11">
        <f t="shared" si="11"/>
        <v>0</v>
      </c>
      <c r="T29" s="10"/>
      <c r="U29" s="11">
        <f t="shared" si="12"/>
        <v>3000</v>
      </c>
      <c r="V29" s="19">
        <f t="shared" si="7"/>
        <v>-3000</v>
      </c>
    </row>
    <row r="30" spans="1:23" x14ac:dyDescent="0.2">
      <c r="A30" s="18" t="s">
        <v>40</v>
      </c>
      <c r="F30" s="11">
        <f t="shared" si="13"/>
        <v>0</v>
      </c>
      <c r="J30" s="11">
        <f t="shared" si="14"/>
        <v>0</v>
      </c>
      <c r="L30" s="1">
        <v>1000</v>
      </c>
      <c r="N30" s="11">
        <f t="shared" si="10"/>
        <v>1000</v>
      </c>
      <c r="Q30" s="1">
        <v>10500</v>
      </c>
      <c r="R30" s="11">
        <f t="shared" si="11"/>
        <v>10500</v>
      </c>
      <c r="T30" s="10"/>
      <c r="U30" s="11">
        <f t="shared" si="12"/>
        <v>11500</v>
      </c>
      <c r="V30" s="19">
        <f t="shared" si="7"/>
        <v>-11500</v>
      </c>
    </row>
    <row r="31" spans="1:23" x14ac:dyDescent="0.2">
      <c r="A31" s="18" t="s">
        <v>41</v>
      </c>
      <c r="F31" s="11">
        <f t="shared" si="13"/>
        <v>0</v>
      </c>
      <c r="J31" s="11">
        <f t="shared" si="14"/>
        <v>0</v>
      </c>
      <c r="N31" s="11">
        <f t="shared" si="10"/>
        <v>0</v>
      </c>
      <c r="R31" s="11">
        <f t="shared" si="11"/>
        <v>0</v>
      </c>
      <c r="T31" s="10"/>
      <c r="U31" s="11">
        <f t="shared" si="12"/>
        <v>0</v>
      </c>
      <c r="V31" s="19">
        <f t="shared" si="7"/>
        <v>0</v>
      </c>
    </row>
    <row r="32" spans="1:23" x14ac:dyDescent="0.2">
      <c r="A32" s="30" t="s">
        <v>8</v>
      </c>
      <c r="C32" s="2">
        <f t="shared" ref="C32:R32" si="15">SUM(C22:C31)</f>
        <v>1200</v>
      </c>
      <c r="D32" s="2">
        <f t="shared" si="15"/>
        <v>0</v>
      </c>
      <c r="E32" s="2">
        <f t="shared" si="15"/>
        <v>6800</v>
      </c>
      <c r="F32" s="46">
        <f t="shared" si="15"/>
        <v>8000</v>
      </c>
      <c r="G32" s="2">
        <f t="shared" si="15"/>
        <v>2950</v>
      </c>
      <c r="H32" s="2">
        <f t="shared" si="15"/>
        <v>2150</v>
      </c>
      <c r="I32" s="2">
        <f t="shared" si="15"/>
        <v>900</v>
      </c>
      <c r="J32" s="46">
        <f t="shared" si="15"/>
        <v>6000</v>
      </c>
      <c r="K32" s="2">
        <f t="shared" si="15"/>
        <v>2600</v>
      </c>
      <c r="L32" s="2">
        <f t="shared" si="15"/>
        <v>1400</v>
      </c>
      <c r="M32" s="2">
        <f t="shared" si="15"/>
        <v>3060</v>
      </c>
      <c r="N32" s="46">
        <f t="shared" si="15"/>
        <v>7060</v>
      </c>
      <c r="O32" s="2">
        <f t="shared" si="15"/>
        <v>2650</v>
      </c>
      <c r="P32" s="2">
        <f t="shared" si="15"/>
        <v>1000</v>
      </c>
      <c r="Q32" s="2">
        <f t="shared" si="15"/>
        <v>24850</v>
      </c>
      <c r="R32" s="46">
        <f t="shared" si="15"/>
        <v>28500</v>
      </c>
      <c r="T32" s="33"/>
      <c r="U32" s="46">
        <f t="shared" ref="U32" si="16">SUM(U22:U31)</f>
        <v>49560</v>
      </c>
      <c r="V32" s="34"/>
    </row>
    <row r="33" spans="1:22" x14ac:dyDescent="0.2">
      <c r="A33" s="31" t="s">
        <v>31</v>
      </c>
      <c r="B33" s="20"/>
      <c r="C33" s="21"/>
      <c r="D33" s="21"/>
      <c r="E33" s="21"/>
      <c r="F33" s="26"/>
      <c r="G33" s="21"/>
      <c r="H33" s="21"/>
      <c r="I33" s="21"/>
      <c r="J33" s="22"/>
      <c r="K33" s="21"/>
      <c r="L33" s="21"/>
      <c r="M33" s="21"/>
      <c r="N33" s="22"/>
      <c r="O33" s="21"/>
      <c r="P33" s="21"/>
      <c r="Q33" s="21"/>
      <c r="R33" s="22">
        <f t="shared" ref="R33:R40" si="17">SUM(O33:Q33)</f>
        <v>0</v>
      </c>
      <c r="S33" s="21"/>
      <c r="T33" s="23"/>
      <c r="U33" s="22"/>
      <c r="V33" s="24">
        <f t="shared" si="7"/>
        <v>0</v>
      </c>
    </row>
    <row r="34" spans="1:22" x14ac:dyDescent="0.2">
      <c r="A34" s="18" t="s">
        <v>18</v>
      </c>
      <c r="C34" s="1">
        <v>200</v>
      </c>
      <c r="D34" s="1">
        <v>200</v>
      </c>
      <c r="E34" s="1">
        <v>200</v>
      </c>
      <c r="F34" s="11">
        <f t="shared" ref="F34:F40" si="18">SUM(C34:E34)</f>
        <v>600</v>
      </c>
      <c r="G34" s="1">
        <v>650</v>
      </c>
      <c r="H34" s="1">
        <v>200</v>
      </c>
      <c r="I34" s="1">
        <v>200</v>
      </c>
      <c r="J34" s="11">
        <f t="shared" ref="J34:J40" si="19">SUM(G34:I34)</f>
        <v>1050</v>
      </c>
      <c r="N34" s="11">
        <f t="shared" ref="N34:N40" si="20">SUM(K34:M34)</f>
        <v>0</v>
      </c>
      <c r="O34" s="1">
        <v>200</v>
      </c>
      <c r="P34" s="1">
        <v>200</v>
      </c>
      <c r="Q34" s="1">
        <v>200</v>
      </c>
      <c r="R34" s="11">
        <f t="shared" si="17"/>
        <v>600</v>
      </c>
      <c r="T34" s="10"/>
      <c r="U34" s="11">
        <f>F34+J34+N34+R34</f>
        <v>2250</v>
      </c>
      <c r="V34" s="19">
        <f t="shared" si="7"/>
        <v>-2250</v>
      </c>
    </row>
    <row r="35" spans="1:22" x14ac:dyDescent="0.2">
      <c r="A35" s="18" t="s">
        <v>7</v>
      </c>
      <c r="E35" s="1">
        <v>400</v>
      </c>
      <c r="F35" s="11">
        <f t="shared" si="18"/>
        <v>400</v>
      </c>
      <c r="I35" s="1">
        <v>900</v>
      </c>
      <c r="J35" s="11">
        <f t="shared" si="19"/>
        <v>900</v>
      </c>
      <c r="N35" s="11">
        <f t="shared" si="20"/>
        <v>0</v>
      </c>
      <c r="R35" s="11">
        <f t="shared" si="17"/>
        <v>0</v>
      </c>
      <c r="T35" s="10"/>
      <c r="U35" s="11">
        <f>F35+J35+N35+R35</f>
        <v>1300</v>
      </c>
      <c r="V35" s="19">
        <f t="shared" si="7"/>
        <v>-1300</v>
      </c>
    </row>
    <row r="36" spans="1:22" x14ac:dyDescent="0.2">
      <c r="A36" s="18" t="s">
        <v>32</v>
      </c>
      <c r="F36" s="11">
        <f t="shared" si="18"/>
        <v>0</v>
      </c>
      <c r="J36" s="11">
        <f t="shared" si="19"/>
        <v>0</v>
      </c>
      <c r="K36" s="1">
        <v>18</v>
      </c>
      <c r="L36" s="1">
        <v>18</v>
      </c>
      <c r="M36" s="1">
        <v>18</v>
      </c>
      <c r="N36" s="11">
        <f t="shared" si="20"/>
        <v>54</v>
      </c>
      <c r="R36" s="11">
        <f t="shared" si="17"/>
        <v>0</v>
      </c>
      <c r="T36" s="10"/>
      <c r="U36" s="11">
        <f>F36+J36+N36+R36</f>
        <v>54</v>
      </c>
      <c r="V36" s="19">
        <f t="shared" si="7"/>
        <v>-54</v>
      </c>
    </row>
    <row r="37" spans="1:22" x14ac:dyDescent="0.2">
      <c r="A37" s="18" t="s">
        <v>33</v>
      </c>
      <c r="F37" s="11">
        <f t="shared" si="18"/>
        <v>0</v>
      </c>
      <c r="J37" s="11">
        <f t="shared" si="19"/>
        <v>0</v>
      </c>
      <c r="N37" s="11">
        <f t="shared" si="20"/>
        <v>0</v>
      </c>
      <c r="R37" s="11">
        <f t="shared" si="17"/>
        <v>0</v>
      </c>
      <c r="T37" s="10"/>
      <c r="U37" s="11">
        <f>F37+J37+N37+R37</f>
        <v>0</v>
      </c>
      <c r="V37" s="19">
        <f t="shared" si="7"/>
        <v>0</v>
      </c>
    </row>
    <row r="38" spans="1:22" x14ac:dyDescent="0.2">
      <c r="A38" s="18" t="s">
        <v>38</v>
      </c>
      <c r="F38" s="11">
        <f t="shared" si="18"/>
        <v>0</v>
      </c>
      <c r="J38" s="11">
        <f t="shared" si="19"/>
        <v>0</v>
      </c>
      <c r="K38" s="65"/>
      <c r="N38" s="11">
        <f t="shared" si="20"/>
        <v>0</v>
      </c>
      <c r="R38" s="11">
        <f t="shared" si="17"/>
        <v>0</v>
      </c>
      <c r="T38" s="10"/>
      <c r="U38" s="11">
        <f t="shared" ref="U38:U40" si="21">F38+J38+N38+R38</f>
        <v>0</v>
      </c>
      <c r="V38" s="19">
        <f t="shared" si="7"/>
        <v>0</v>
      </c>
    </row>
    <row r="39" spans="1:22" x14ac:dyDescent="0.2">
      <c r="A39" s="18" t="s">
        <v>46</v>
      </c>
      <c r="F39" s="11">
        <f t="shared" si="18"/>
        <v>0</v>
      </c>
      <c r="I39" s="1">
        <v>500</v>
      </c>
      <c r="J39" s="11">
        <f t="shared" si="19"/>
        <v>500</v>
      </c>
      <c r="K39" s="63"/>
      <c r="N39" s="11">
        <f t="shared" si="20"/>
        <v>0</v>
      </c>
      <c r="R39" s="11">
        <f t="shared" si="17"/>
        <v>0</v>
      </c>
      <c r="T39" s="10"/>
      <c r="U39" s="11">
        <f t="shared" si="21"/>
        <v>500</v>
      </c>
      <c r="V39" s="19">
        <f t="shared" si="7"/>
        <v>-500</v>
      </c>
    </row>
    <row r="40" spans="1:22" x14ac:dyDescent="0.2">
      <c r="A40" s="18" t="s">
        <v>47</v>
      </c>
      <c r="F40" s="11">
        <f t="shared" si="18"/>
        <v>0</v>
      </c>
      <c r="J40" s="11">
        <f t="shared" si="19"/>
        <v>0</v>
      </c>
      <c r="K40" s="64"/>
      <c r="N40" s="11">
        <f t="shared" si="20"/>
        <v>0</v>
      </c>
      <c r="R40" s="11">
        <f t="shared" si="17"/>
        <v>0</v>
      </c>
      <c r="T40" s="10"/>
      <c r="U40" s="11">
        <f t="shared" si="21"/>
        <v>0</v>
      </c>
      <c r="V40" s="19">
        <f t="shared" si="7"/>
        <v>0</v>
      </c>
    </row>
    <row r="41" spans="1:22" x14ac:dyDescent="0.2">
      <c r="A41" s="30" t="s">
        <v>8</v>
      </c>
      <c r="C41" s="2">
        <f t="shared" ref="C41:R41" si="22">SUM(C34:C40)</f>
        <v>200</v>
      </c>
      <c r="D41" s="2">
        <f t="shared" si="22"/>
        <v>200</v>
      </c>
      <c r="E41" s="2">
        <f t="shared" si="22"/>
        <v>600</v>
      </c>
      <c r="F41" s="45">
        <f t="shared" si="22"/>
        <v>1000</v>
      </c>
      <c r="G41" s="2">
        <f t="shared" si="22"/>
        <v>650</v>
      </c>
      <c r="H41" s="2">
        <f t="shared" si="22"/>
        <v>200</v>
      </c>
      <c r="I41" s="2">
        <f t="shared" si="22"/>
        <v>1600</v>
      </c>
      <c r="J41" s="45">
        <f t="shared" si="22"/>
        <v>2450</v>
      </c>
      <c r="K41" s="2">
        <f t="shared" si="22"/>
        <v>18</v>
      </c>
      <c r="L41" s="2">
        <f t="shared" si="22"/>
        <v>18</v>
      </c>
      <c r="M41" s="2">
        <f t="shared" si="22"/>
        <v>18</v>
      </c>
      <c r="N41" s="45">
        <f t="shared" si="22"/>
        <v>54</v>
      </c>
      <c r="O41" s="2">
        <f t="shared" si="22"/>
        <v>200</v>
      </c>
      <c r="P41" s="2">
        <f t="shared" si="22"/>
        <v>200</v>
      </c>
      <c r="Q41" s="2">
        <f t="shared" si="22"/>
        <v>200</v>
      </c>
      <c r="R41" s="45">
        <f t="shared" si="22"/>
        <v>600</v>
      </c>
      <c r="T41" s="10"/>
      <c r="U41" s="45">
        <f t="shared" ref="U41" si="23">SUM(U34:U40)</f>
        <v>4104</v>
      </c>
      <c r="V41" s="19"/>
    </row>
    <row r="42" spans="1:22" x14ac:dyDescent="0.2">
      <c r="A42" s="25" t="s">
        <v>42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3"/>
      <c r="U42" s="22"/>
      <c r="V42" s="24"/>
    </row>
    <row r="43" spans="1:22" x14ac:dyDescent="0.2">
      <c r="A43" s="18" t="s">
        <v>43</v>
      </c>
      <c r="F43" s="11">
        <f t="shared" ref="F43:F46" si="24">SUM(C43:E43)</f>
        <v>0</v>
      </c>
      <c r="J43" s="11">
        <f t="shared" ref="J43:J46" si="25">SUM(G43:I43)</f>
        <v>0</v>
      </c>
      <c r="N43" s="11">
        <f t="shared" ref="N43:N46" si="26">SUM(K43:M43)</f>
        <v>0</v>
      </c>
      <c r="Q43" s="1">
        <v>15000</v>
      </c>
      <c r="R43" s="11">
        <f t="shared" ref="R43:R46" si="27">SUM(O43:Q43)</f>
        <v>15000</v>
      </c>
      <c r="T43" s="10"/>
      <c r="U43" s="11">
        <f t="shared" ref="U43:U46" si="28">F43+J43+N43+R43</f>
        <v>15000</v>
      </c>
      <c r="V43" s="19">
        <f t="shared" si="7"/>
        <v>-15000</v>
      </c>
    </row>
    <row r="44" spans="1:22" x14ac:dyDescent="0.2">
      <c r="A44" s="18" t="s">
        <v>44</v>
      </c>
      <c r="E44" s="1">
        <v>500</v>
      </c>
      <c r="F44" s="11">
        <f t="shared" si="24"/>
        <v>500</v>
      </c>
      <c r="G44" s="1">
        <v>2500</v>
      </c>
      <c r="H44" s="1">
        <v>500</v>
      </c>
      <c r="I44" s="1">
        <v>500</v>
      </c>
      <c r="J44" s="11">
        <f t="shared" si="25"/>
        <v>3500</v>
      </c>
      <c r="K44" s="1">
        <v>500</v>
      </c>
      <c r="L44" s="1">
        <v>500</v>
      </c>
      <c r="M44" s="1">
        <v>500</v>
      </c>
      <c r="N44" s="11">
        <f t="shared" si="26"/>
        <v>1500</v>
      </c>
      <c r="O44" s="1">
        <v>500</v>
      </c>
      <c r="P44" s="1">
        <v>500</v>
      </c>
      <c r="Q44" s="1">
        <v>500</v>
      </c>
      <c r="R44" s="11">
        <f t="shared" si="27"/>
        <v>1500</v>
      </c>
      <c r="T44" s="10"/>
      <c r="U44" s="11">
        <f t="shared" si="28"/>
        <v>7000</v>
      </c>
      <c r="V44" s="19">
        <f t="shared" si="7"/>
        <v>-7000</v>
      </c>
    </row>
    <row r="45" spans="1:22" x14ac:dyDescent="0.2">
      <c r="A45" s="18" t="s">
        <v>45</v>
      </c>
      <c r="F45" s="11">
        <f t="shared" si="24"/>
        <v>0</v>
      </c>
      <c r="J45" s="11">
        <f t="shared" si="25"/>
        <v>0</v>
      </c>
      <c r="N45" s="11">
        <f t="shared" si="26"/>
        <v>0</v>
      </c>
      <c r="R45" s="11">
        <f t="shared" si="27"/>
        <v>0</v>
      </c>
      <c r="T45" s="10"/>
      <c r="U45" s="11">
        <f>F45+J45+N45+R45</f>
        <v>0</v>
      </c>
      <c r="V45" s="19">
        <f t="shared" si="7"/>
        <v>0</v>
      </c>
    </row>
    <row r="46" spans="1:22" x14ac:dyDescent="0.2">
      <c r="A46" s="18" t="s">
        <v>48</v>
      </c>
      <c r="F46" s="11">
        <f t="shared" si="24"/>
        <v>0</v>
      </c>
      <c r="H46" s="1">
        <v>500</v>
      </c>
      <c r="J46" s="11">
        <f t="shared" si="25"/>
        <v>500</v>
      </c>
      <c r="K46" s="1">
        <v>500</v>
      </c>
      <c r="N46" s="11">
        <f t="shared" si="26"/>
        <v>500</v>
      </c>
      <c r="O46" s="1">
        <v>1500</v>
      </c>
      <c r="Q46" s="1">
        <v>1500</v>
      </c>
      <c r="R46" s="11">
        <f t="shared" si="27"/>
        <v>3000</v>
      </c>
      <c r="T46" s="10"/>
      <c r="U46" s="11">
        <f t="shared" si="28"/>
        <v>4000</v>
      </c>
      <c r="V46" s="19">
        <f t="shared" si="7"/>
        <v>-4000</v>
      </c>
    </row>
    <row r="47" spans="1:22" x14ac:dyDescent="0.2">
      <c r="A47" s="30" t="s">
        <v>8</v>
      </c>
      <c r="C47" s="2">
        <f t="shared" ref="C47:R47" si="29">SUM(C43:C46)</f>
        <v>0</v>
      </c>
      <c r="D47" s="2">
        <f t="shared" si="29"/>
        <v>0</v>
      </c>
      <c r="E47" s="2">
        <f t="shared" si="29"/>
        <v>500</v>
      </c>
      <c r="F47" s="46">
        <f t="shared" si="29"/>
        <v>500</v>
      </c>
      <c r="G47" s="2">
        <f t="shared" si="29"/>
        <v>2500</v>
      </c>
      <c r="H47" s="2">
        <f t="shared" si="29"/>
        <v>1000</v>
      </c>
      <c r="I47" s="2">
        <f t="shared" si="29"/>
        <v>500</v>
      </c>
      <c r="J47" s="46">
        <f t="shared" si="29"/>
        <v>4000</v>
      </c>
      <c r="K47" s="2">
        <f t="shared" si="29"/>
        <v>1000</v>
      </c>
      <c r="L47" s="2">
        <f t="shared" si="29"/>
        <v>500</v>
      </c>
      <c r="M47" s="2">
        <f t="shared" si="29"/>
        <v>500</v>
      </c>
      <c r="N47" s="46">
        <f t="shared" si="29"/>
        <v>2000</v>
      </c>
      <c r="O47" s="2">
        <f t="shared" si="29"/>
        <v>2000</v>
      </c>
      <c r="P47" s="2">
        <f t="shared" si="29"/>
        <v>500</v>
      </c>
      <c r="Q47" s="2">
        <f t="shared" si="29"/>
        <v>17000</v>
      </c>
      <c r="R47" s="46">
        <f t="shared" si="29"/>
        <v>19500</v>
      </c>
      <c r="T47" s="10"/>
      <c r="U47" s="46">
        <f t="shared" ref="U47" si="30">SUM(U43:U46)</f>
        <v>26000</v>
      </c>
      <c r="V47" s="19"/>
    </row>
    <row r="48" spans="1:22" x14ac:dyDescent="0.2">
      <c r="A48" s="2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3"/>
      <c r="U48" s="22"/>
      <c r="V48" s="24">
        <f t="shared" si="7"/>
        <v>0</v>
      </c>
    </row>
    <row r="49" spans="1:22" x14ac:dyDescent="0.2">
      <c r="A49" s="30" t="s">
        <v>62</v>
      </c>
      <c r="C49" s="1">
        <f t="shared" ref="C49:R49" si="31">C32+C41+C47</f>
        <v>1400</v>
      </c>
      <c r="D49" s="1">
        <f t="shared" si="31"/>
        <v>200</v>
      </c>
      <c r="E49" s="1">
        <f t="shared" si="31"/>
        <v>7900</v>
      </c>
      <c r="F49" s="49">
        <f t="shared" si="31"/>
        <v>9500</v>
      </c>
      <c r="G49" s="1">
        <f t="shared" si="31"/>
        <v>6100</v>
      </c>
      <c r="H49" s="1">
        <f t="shared" si="31"/>
        <v>3350</v>
      </c>
      <c r="I49" s="1">
        <f t="shared" si="31"/>
        <v>3000</v>
      </c>
      <c r="J49" s="49">
        <f t="shared" si="31"/>
        <v>12450</v>
      </c>
      <c r="K49" s="1">
        <f t="shared" si="31"/>
        <v>3618</v>
      </c>
      <c r="L49" s="1">
        <f t="shared" si="31"/>
        <v>1918</v>
      </c>
      <c r="M49" s="1">
        <f t="shared" si="31"/>
        <v>3578</v>
      </c>
      <c r="N49" s="49">
        <f t="shared" si="31"/>
        <v>9114</v>
      </c>
      <c r="O49" s="1">
        <f t="shared" si="31"/>
        <v>4850</v>
      </c>
      <c r="P49" s="1">
        <f t="shared" si="31"/>
        <v>1700</v>
      </c>
      <c r="Q49" s="1">
        <f t="shared" si="31"/>
        <v>42050</v>
      </c>
      <c r="R49" s="49">
        <f t="shared" si="31"/>
        <v>48600</v>
      </c>
      <c r="T49" s="1">
        <f>SUM(T22:T48)</f>
        <v>0</v>
      </c>
      <c r="U49" s="49">
        <f t="shared" ref="U49" si="32">U32+U41+U47</f>
        <v>79664</v>
      </c>
      <c r="V49" s="34">
        <f t="shared" si="7"/>
        <v>-79664</v>
      </c>
    </row>
    <row r="50" spans="1:22" x14ac:dyDescent="0.2">
      <c r="A50" s="36"/>
      <c r="C50" s="32"/>
      <c r="D50" s="32"/>
      <c r="E50" s="32"/>
      <c r="F50" s="49"/>
      <c r="G50" s="32"/>
      <c r="H50" s="32"/>
      <c r="I50" s="32"/>
      <c r="J50" s="49"/>
      <c r="K50" s="32"/>
      <c r="L50" s="32"/>
      <c r="M50" s="32"/>
      <c r="N50" s="49"/>
      <c r="O50" s="32"/>
      <c r="P50" s="32"/>
      <c r="Q50" s="32"/>
      <c r="R50" s="49"/>
      <c r="S50" s="32"/>
      <c r="T50" s="32"/>
      <c r="U50" s="32"/>
    </row>
    <row r="51" spans="1:22" x14ac:dyDescent="0.2">
      <c r="A51" s="30" t="s">
        <v>17</v>
      </c>
      <c r="C51" s="50">
        <f t="shared" ref="C51:R51" si="33">C18-C49</f>
        <v>2600</v>
      </c>
      <c r="D51" s="50">
        <f t="shared" si="33"/>
        <v>-200</v>
      </c>
      <c r="E51" s="50">
        <f t="shared" si="33"/>
        <v>-5150</v>
      </c>
      <c r="F51" s="51">
        <f t="shared" si="33"/>
        <v>-2750</v>
      </c>
      <c r="G51" s="50">
        <f t="shared" si="33"/>
        <v>19650</v>
      </c>
      <c r="H51" s="50">
        <f t="shared" si="33"/>
        <v>800</v>
      </c>
      <c r="I51" s="50">
        <f t="shared" si="33"/>
        <v>-350</v>
      </c>
      <c r="J51" s="51">
        <f t="shared" si="33"/>
        <v>20100</v>
      </c>
      <c r="K51" s="50">
        <f t="shared" si="33"/>
        <v>11882</v>
      </c>
      <c r="L51" s="50">
        <f t="shared" si="33"/>
        <v>-668</v>
      </c>
      <c r="M51" s="50">
        <f t="shared" si="33"/>
        <v>-78</v>
      </c>
      <c r="N51" s="51">
        <f t="shared" si="33"/>
        <v>11136</v>
      </c>
      <c r="O51" s="50">
        <f t="shared" si="33"/>
        <v>4750</v>
      </c>
      <c r="P51" s="50">
        <f t="shared" si="33"/>
        <v>1300</v>
      </c>
      <c r="Q51" s="50">
        <f t="shared" si="33"/>
        <v>-25700</v>
      </c>
      <c r="R51" s="51">
        <f t="shared" si="33"/>
        <v>-19650</v>
      </c>
      <c r="S51" s="32"/>
      <c r="T51" s="50">
        <f>T18-T49</f>
        <v>0</v>
      </c>
      <c r="U51" s="50">
        <f>U18-U49</f>
        <v>8836</v>
      </c>
      <c r="V51" s="50">
        <f>V18-V49</f>
        <v>-8836</v>
      </c>
    </row>
    <row r="54" spans="1:22" x14ac:dyDescent="0.2">
      <c r="O54" s="52"/>
    </row>
    <row r="55" spans="1:22" x14ac:dyDescent="0.2">
      <c r="O55" s="52"/>
    </row>
    <row r="56" spans="1:22" x14ac:dyDescent="0.2">
      <c r="O56" s="52"/>
    </row>
    <row r="57" spans="1:22" x14ac:dyDescent="0.2">
      <c r="O57" s="52"/>
      <c r="S57" s="52"/>
    </row>
    <row r="58" spans="1:22" x14ac:dyDescent="0.2">
      <c r="B58" s="55"/>
      <c r="C58" s="2"/>
      <c r="D58" s="2"/>
      <c r="E58" s="2"/>
      <c r="R58" s="53"/>
      <c r="S58" s="52"/>
    </row>
    <row r="59" spans="1:22" x14ac:dyDescent="0.2">
      <c r="B59" s="1"/>
      <c r="R59" s="53"/>
      <c r="S59" s="52"/>
    </row>
    <row r="60" spans="1:22" x14ac:dyDescent="0.2">
      <c r="A60" s="18"/>
      <c r="B60" s="1"/>
      <c r="J60" s="54"/>
      <c r="R60" s="53"/>
      <c r="S60" s="52"/>
    </row>
    <row r="61" spans="1:22" x14ac:dyDescent="0.2">
      <c r="A61" s="18"/>
      <c r="B61" s="1"/>
      <c r="R61" s="53"/>
    </row>
    <row r="62" spans="1:22" x14ac:dyDescent="0.2">
      <c r="A62" s="18"/>
      <c r="B62" s="1"/>
      <c r="R62" s="53"/>
    </row>
    <row r="63" spans="1:22" x14ac:dyDescent="0.2">
      <c r="B63" s="1"/>
    </row>
    <row r="64" spans="1:22" x14ac:dyDescent="0.2">
      <c r="B64" s="52"/>
      <c r="C64" s="56"/>
      <c r="D64" s="56"/>
      <c r="E64" s="56"/>
    </row>
  </sheetData>
  <mergeCells count="3">
    <mergeCell ref="A2:B2"/>
    <mergeCell ref="A3:B3"/>
    <mergeCell ref="A4:R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5"/>
  <sheetViews>
    <sheetView zoomScale="90" zoomScaleNormal="90" workbookViewId="0">
      <selection activeCell="C21" sqref="C21"/>
    </sheetView>
  </sheetViews>
  <sheetFormatPr baseColWidth="10" defaultColWidth="8.83203125" defaultRowHeight="15" x14ac:dyDescent="0.2"/>
  <cols>
    <col min="1" max="1" width="30.5" customWidth="1"/>
    <col min="2" max="2" width="12.33203125" customWidth="1"/>
    <col min="3" max="4" width="13.5" style="1" customWidth="1"/>
    <col min="5" max="5" width="12.83203125" style="1" customWidth="1"/>
    <col min="6" max="6" width="13.5" style="1" customWidth="1"/>
    <col min="7" max="7" width="13.5" style="1" bestFit="1" customWidth="1"/>
    <col min="8" max="8" width="15.6640625" style="1" bestFit="1" customWidth="1"/>
    <col min="9" max="9" width="13.1640625" style="1" bestFit="1" customWidth="1"/>
    <col min="10" max="10" width="14.6640625" style="1" bestFit="1" customWidth="1"/>
    <col min="11" max="11" width="13.5" style="1" bestFit="1" customWidth="1"/>
    <col min="12" max="13" width="13.1640625" style="1" bestFit="1" customWidth="1"/>
    <col min="14" max="14" width="13.5" style="1" bestFit="1" customWidth="1"/>
    <col min="15" max="16" width="13.1640625" style="1" bestFit="1" customWidth="1"/>
    <col min="17" max="17" width="13.6640625" style="1" bestFit="1" customWidth="1"/>
    <col min="18" max="18" width="13.1640625" style="1" bestFit="1" customWidth="1"/>
  </cols>
  <sheetData>
    <row r="1" spans="1:18" x14ac:dyDescent="0.2">
      <c r="A1" s="38" t="s">
        <v>51</v>
      </c>
      <c r="B1" s="40" t="s">
        <v>63</v>
      </c>
      <c r="C1" s="39"/>
      <c r="D1" s="39"/>
      <c r="E1"/>
      <c r="F1"/>
      <c r="G1"/>
      <c r="H1"/>
    </row>
    <row r="2" spans="1:18" x14ac:dyDescent="0.2">
      <c r="A2" s="119"/>
      <c r="B2" s="119"/>
      <c r="D2" s="2"/>
      <c r="E2" s="3"/>
    </row>
    <row r="3" spans="1:18" x14ac:dyDescent="0.2">
      <c r="A3" s="119"/>
      <c r="B3" s="119"/>
    </row>
    <row r="4" spans="1:18" x14ac:dyDescent="0.2">
      <c r="A4" s="120" t="s">
        <v>19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x14ac:dyDescent="0.2">
      <c r="A5" s="8"/>
      <c r="B5" s="8"/>
      <c r="C5" s="9" t="s">
        <v>64</v>
      </c>
      <c r="D5" s="9" t="s">
        <v>65</v>
      </c>
      <c r="E5" s="9" t="s">
        <v>66</v>
      </c>
      <c r="F5" s="41" t="s">
        <v>3</v>
      </c>
      <c r="G5" s="9" t="s">
        <v>67</v>
      </c>
      <c r="H5" s="9" t="s">
        <v>68</v>
      </c>
      <c r="I5" s="9" t="s">
        <v>69</v>
      </c>
      <c r="J5" s="41" t="s">
        <v>4</v>
      </c>
      <c r="K5" s="9" t="s">
        <v>70</v>
      </c>
      <c r="L5" s="9" t="s">
        <v>71</v>
      </c>
      <c r="M5" s="9" t="s">
        <v>72</v>
      </c>
      <c r="N5" s="41" t="s">
        <v>5</v>
      </c>
      <c r="O5" s="9" t="s">
        <v>73</v>
      </c>
      <c r="P5" s="9" t="s">
        <v>74</v>
      </c>
      <c r="Q5" s="9" t="s">
        <v>75</v>
      </c>
      <c r="R5" s="41" t="s">
        <v>6</v>
      </c>
    </row>
    <row r="6" spans="1:18" s="13" customFormat="1" ht="16" x14ac:dyDescent="0.2">
      <c r="A6" s="13" t="s">
        <v>23</v>
      </c>
      <c r="C6" s="14">
        <v>0</v>
      </c>
      <c r="D6" s="14"/>
      <c r="E6" s="14"/>
      <c r="F6" s="42">
        <f>SUM(C6:E6)</f>
        <v>0</v>
      </c>
      <c r="G6" s="14"/>
      <c r="H6" s="14"/>
      <c r="I6" s="14"/>
      <c r="J6" s="43">
        <f>SUM(G6:I6)</f>
        <v>0</v>
      </c>
      <c r="K6" s="14"/>
      <c r="L6" s="14"/>
      <c r="M6" s="14"/>
      <c r="N6" s="43">
        <f>SUM(K6:M6)</f>
        <v>0</v>
      </c>
      <c r="O6" s="14"/>
      <c r="P6" s="14"/>
      <c r="Q6" s="14"/>
      <c r="R6" s="43">
        <f>SUM(O6:Q6)</f>
        <v>0</v>
      </c>
    </row>
    <row r="7" spans="1:18" s="13" customFormat="1" ht="16" x14ac:dyDescent="0.2">
      <c r="A7" s="13" t="s">
        <v>22</v>
      </c>
      <c r="C7" s="14"/>
      <c r="D7" s="14"/>
      <c r="E7" s="14"/>
      <c r="F7" s="42">
        <f t="shared" ref="F7:F17" si="0">SUM(C7:E7)</f>
        <v>0</v>
      </c>
      <c r="G7" s="14"/>
      <c r="H7" s="14"/>
      <c r="I7" s="14"/>
      <c r="J7" s="43">
        <f t="shared" ref="J7:J17" si="1">SUM(G7:I7)</f>
        <v>0</v>
      </c>
      <c r="K7" s="14"/>
      <c r="L7" s="14"/>
      <c r="M7" s="14"/>
      <c r="N7" s="43">
        <f t="shared" ref="N7:N17" si="2">SUM(K7:M7)</f>
        <v>0</v>
      </c>
      <c r="O7" s="14"/>
      <c r="P7" s="14"/>
      <c r="Q7" s="14"/>
      <c r="R7" s="43">
        <f t="shared" ref="R7:R16" si="3">SUM(O7:Q7)</f>
        <v>0</v>
      </c>
    </row>
    <row r="8" spans="1:18" s="13" customFormat="1" ht="16" x14ac:dyDescent="0.2">
      <c r="A8" s="13" t="s">
        <v>20</v>
      </c>
      <c r="C8" s="14"/>
      <c r="D8" s="14"/>
      <c r="E8" s="14"/>
      <c r="F8" s="42">
        <f t="shared" si="0"/>
        <v>0</v>
      </c>
      <c r="G8" s="14"/>
      <c r="H8" s="14"/>
      <c r="I8" s="14"/>
      <c r="J8" s="43">
        <f t="shared" si="1"/>
        <v>0</v>
      </c>
      <c r="K8" s="14"/>
      <c r="L8" s="14"/>
      <c r="M8" s="14"/>
      <c r="N8" s="43">
        <f t="shared" si="2"/>
        <v>0</v>
      </c>
      <c r="O8" s="14"/>
      <c r="P8" s="14"/>
      <c r="Q8" s="14"/>
      <c r="R8" s="43">
        <f t="shared" si="3"/>
        <v>0</v>
      </c>
    </row>
    <row r="9" spans="1:18" s="13" customFormat="1" ht="16" x14ac:dyDescent="0.2">
      <c r="A9" s="13" t="s">
        <v>21</v>
      </c>
      <c r="C9" s="14"/>
      <c r="D9" s="14"/>
      <c r="E9" s="14"/>
      <c r="F9" s="42">
        <f t="shared" si="0"/>
        <v>0</v>
      </c>
      <c r="G9" s="14"/>
      <c r="H9" s="14"/>
      <c r="I9" s="14"/>
      <c r="J9" s="43">
        <f t="shared" si="1"/>
        <v>0</v>
      </c>
      <c r="K9" s="14"/>
      <c r="L9" s="14"/>
      <c r="M9" s="14"/>
      <c r="N9" s="43">
        <f t="shared" si="2"/>
        <v>0</v>
      </c>
      <c r="O9" s="14"/>
      <c r="P9" s="14"/>
      <c r="Q9" s="14"/>
      <c r="R9" s="43">
        <f t="shared" si="3"/>
        <v>0</v>
      </c>
    </row>
    <row r="10" spans="1:18" s="13" customFormat="1" ht="16" x14ac:dyDescent="0.2">
      <c r="A10" s="13" t="s">
        <v>24</v>
      </c>
      <c r="C10" s="14">
        <v>3901.33</v>
      </c>
      <c r="D10" s="14"/>
      <c r="E10" s="14"/>
      <c r="F10" s="42">
        <f t="shared" si="0"/>
        <v>3901.33</v>
      </c>
      <c r="G10" s="14"/>
      <c r="H10" s="14"/>
      <c r="I10" s="14"/>
      <c r="J10" s="43">
        <f t="shared" si="1"/>
        <v>0</v>
      </c>
      <c r="K10" s="14"/>
      <c r="L10" s="14"/>
      <c r="M10" s="14"/>
      <c r="N10" s="43">
        <f t="shared" si="2"/>
        <v>0</v>
      </c>
      <c r="O10" s="14"/>
      <c r="P10" s="14"/>
      <c r="Q10" s="14"/>
      <c r="R10" s="43">
        <f t="shared" si="3"/>
        <v>0</v>
      </c>
    </row>
    <row r="11" spans="1:18" s="13" customFormat="1" ht="16" x14ac:dyDescent="0.2">
      <c r="A11" s="13" t="s">
        <v>25</v>
      </c>
      <c r="C11" s="14"/>
      <c r="D11" s="14"/>
      <c r="E11" s="14"/>
      <c r="F11" s="42">
        <f t="shared" si="0"/>
        <v>0</v>
      </c>
      <c r="G11" s="14"/>
      <c r="H11" s="14"/>
      <c r="I11" s="14"/>
      <c r="J11" s="43">
        <f t="shared" si="1"/>
        <v>0</v>
      </c>
      <c r="K11" s="14"/>
      <c r="L11" s="14"/>
      <c r="M11" s="14"/>
      <c r="N11" s="43">
        <f t="shared" si="2"/>
        <v>0</v>
      </c>
      <c r="O11" s="14"/>
      <c r="P11" s="14"/>
      <c r="Q11" s="14"/>
      <c r="R11" s="43">
        <f t="shared" si="3"/>
        <v>0</v>
      </c>
    </row>
    <row r="12" spans="1:18" s="13" customFormat="1" ht="16" x14ac:dyDescent="0.2">
      <c r="A12" s="13" t="s">
        <v>26</v>
      </c>
      <c r="C12" s="14"/>
      <c r="D12" s="14"/>
      <c r="E12" s="14"/>
      <c r="F12" s="42">
        <f t="shared" si="0"/>
        <v>0</v>
      </c>
      <c r="G12" s="14"/>
      <c r="H12" s="14"/>
      <c r="I12" s="14"/>
      <c r="J12" s="43">
        <f t="shared" si="1"/>
        <v>0</v>
      </c>
      <c r="K12" s="14"/>
      <c r="L12" s="14"/>
      <c r="M12" s="14"/>
      <c r="N12" s="43">
        <f t="shared" si="2"/>
        <v>0</v>
      </c>
      <c r="O12" s="14"/>
      <c r="P12" s="14"/>
      <c r="Q12" s="14"/>
      <c r="R12" s="43">
        <f t="shared" si="3"/>
        <v>0</v>
      </c>
    </row>
    <row r="13" spans="1:18" s="13" customFormat="1" ht="16" x14ac:dyDescent="0.2">
      <c r="A13" s="13" t="s">
        <v>27</v>
      </c>
      <c r="C13" s="14"/>
      <c r="D13" s="14"/>
      <c r="E13" s="14"/>
      <c r="F13" s="42">
        <f t="shared" si="0"/>
        <v>0</v>
      </c>
      <c r="G13" s="14"/>
      <c r="H13" s="14"/>
      <c r="I13" s="14"/>
      <c r="J13" s="43">
        <f t="shared" si="1"/>
        <v>0</v>
      </c>
      <c r="K13" s="14"/>
      <c r="L13" s="14"/>
      <c r="M13" s="14"/>
      <c r="N13" s="43">
        <f t="shared" si="2"/>
        <v>0</v>
      </c>
      <c r="O13" s="14"/>
      <c r="P13" s="14"/>
      <c r="Q13" s="14"/>
      <c r="R13" s="43">
        <f t="shared" si="3"/>
        <v>0</v>
      </c>
    </row>
    <row r="14" spans="1:18" s="13" customFormat="1" ht="16" x14ac:dyDescent="0.2">
      <c r="A14" s="13" t="s">
        <v>28</v>
      </c>
      <c r="C14" s="14">
        <v>0</v>
      </c>
      <c r="D14" s="14"/>
      <c r="E14" s="14"/>
      <c r="F14" s="42">
        <f t="shared" si="0"/>
        <v>0</v>
      </c>
      <c r="G14" s="14"/>
      <c r="H14" s="14"/>
      <c r="I14" s="14"/>
      <c r="J14" s="43">
        <f t="shared" si="1"/>
        <v>0</v>
      </c>
      <c r="K14" s="14"/>
      <c r="L14" s="14"/>
      <c r="M14" s="14"/>
      <c r="N14" s="43">
        <f t="shared" si="2"/>
        <v>0</v>
      </c>
      <c r="O14" s="14"/>
      <c r="P14" s="14"/>
      <c r="Q14" s="14"/>
      <c r="R14" s="43">
        <f t="shared" si="3"/>
        <v>0</v>
      </c>
    </row>
    <row r="15" spans="1:18" s="13" customFormat="1" ht="16" x14ac:dyDescent="0.2">
      <c r="A15" s="13" t="s">
        <v>16</v>
      </c>
      <c r="C15" s="14"/>
      <c r="D15" s="14"/>
      <c r="E15" s="14"/>
      <c r="F15" s="42">
        <f t="shared" si="0"/>
        <v>0</v>
      </c>
      <c r="G15" s="14"/>
      <c r="H15" s="14"/>
      <c r="I15" s="14"/>
      <c r="J15" s="43">
        <f t="shared" si="1"/>
        <v>0</v>
      </c>
      <c r="K15" s="14"/>
      <c r="L15" s="14"/>
      <c r="M15" s="14"/>
      <c r="N15" s="43">
        <f t="shared" si="2"/>
        <v>0</v>
      </c>
      <c r="O15" s="14"/>
      <c r="P15" s="14"/>
      <c r="Q15" s="14"/>
      <c r="R15" s="43">
        <f t="shared" si="3"/>
        <v>0</v>
      </c>
    </row>
    <row r="16" spans="1:18" s="13" customFormat="1" ht="16" x14ac:dyDescent="0.2">
      <c r="C16" s="14"/>
      <c r="D16" s="14"/>
      <c r="E16" s="14"/>
      <c r="F16" s="42">
        <f t="shared" si="0"/>
        <v>0</v>
      </c>
      <c r="G16" s="14"/>
      <c r="H16" s="14"/>
      <c r="I16" s="14"/>
      <c r="J16" s="43">
        <f t="shared" si="1"/>
        <v>0</v>
      </c>
      <c r="K16" s="14"/>
      <c r="L16" s="14"/>
      <c r="M16" s="14"/>
      <c r="N16" s="43">
        <f t="shared" si="2"/>
        <v>0</v>
      </c>
      <c r="O16" s="14"/>
      <c r="P16" s="14"/>
      <c r="Q16" s="14"/>
      <c r="R16" s="43">
        <f t="shared" si="3"/>
        <v>0</v>
      </c>
    </row>
    <row r="17" spans="1:18" s="13" customFormat="1" ht="16" x14ac:dyDescent="0.2">
      <c r="C17" s="16"/>
      <c r="D17" s="16"/>
      <c r="E17" s="16"/>
      <c r="F17" s="66">
        <f t="shared" si="0"/>
        <v>0</v>
      </c>
      <c r="G17" s="16"/>
      <c r="H17" s="16"/>
      <c r="I17" s="16"/>
      <c r="J17" s="44">
        <f t="shared" si="1"/>
        <v>0</v>
      </c>
      <c r="K17" s="16"/>
      <c r="L17" s="16"/>
      <c r="M17" s="16"/>
      <c r="N17" s="44">
        <f t="shared" si="2"/>
        <v>0</v>
      </c>
      <c r="O17" s="16"/>
      <c r="P17" s="16"/>
      <c r="Q17" s="16"/>
      <c r="R17" s="44">
        <f t="shared" ref="R17" si="4">SUM(O17:Q17)</f>
        <v>0</v>
      </c>
    </row>
    <row r="18" spans="1:18" s="13" customFormat="1" x14ac:dyDescent="0.2">
      <c r="A18" s="37" t="s">
        <v>9</v>
      </c>
      <c r="C18" s="47">
        <f t="shared" ref="C18:R18" si="5">SUM(C6:C17)</f>
        <v>3901.33</v>
      </c>
      <c r="D18" s="47">
        <f t="shared" si="5"/>
        <v>0</v>
      </c>
      <c r="E18" s="47">
        <f t="shared" si="5"/>
        <v>0</v>
      </c>
      <c r="F18" s="48">
        <f t="shared" si="5"/>
        <v>3901.33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8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48">
        <f t="shared" si="5"/>
        <v>0</v>
      </c>
      <c r="O18" s="47">
        <f t="shared" si="5"/>
        <v>0</v>
      </c>
      <c r="P18" s="47">
        <f t="shared" si="5"/>
        <v>0</v>
      </c>
      <c r="Q18" s="47">
        <f t="shared" si="5"/>
        <v>0</v>
      </c>
      <c r="R18" s="48">
        <f t="shared" si="5"/>
        <v>0</v>
      </c>
    </row>
    <row r="19" spans="1:18" s="13" customFormat="1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x14ac:dyDescent="0.2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">
      <c r="A21" s="27" t="s">
        <v>29</v>
      </c>
      <c r="B21" s="20"/>
      <c r="C21" s="28" t="s">
        <v>64</v>
      </c>
      <c r="D21" s="28" t="s">
        <v>65</v>
      </c>
      <c r="E21" s="28" t="s">
        <v>66</v>
      </c>
      <c r="F21" s="35" t="s">
        <v>3</v>
      </c>
      <c r="G21" s="28" t="s">
        <v>67</v>
      </c>
      <c r="H21" s="28" t="s">
        <v>68</v>
      </c>
      <c r="I21" s="28" t="s">
        <v>69</v>
      </c>
      <c r="J21" s="29" t="s">
        <v>4</v>
      </c>
      <c r="K21" s="28" t="s">
        <v>70</v>
      </c>
      <c r="L21" s="28" t="s">
        <v>71</v>
      </c>
      <c r="M21" s="28" t="s">
        <v>72</v>
      </c>
      <c r="N21" s="29" t="s">
        <v>5</v>
      </c>
      <c r="O21" s="28" t="s">
        <v>73</v>
      </c>
      <c r="P21" s="28" t="s">
        <v>74</v>
      </c>
      <c r="Q21" s="28" t="s">
        <v>75</v>
      </c>
      <c r="R21" s="29" t="s">
        <v>6</v>
      </c>
    </row>
    <row r="22" spans="1:18" x14ac:dyDescent="0.2">
      <c r="A22" s="18" t="s">
        <v>30</v>
      </c>
      <c r="F22" s="11">
        <f>SUM(C22:E22)</f>
        <v>0</v>
      </c>
      <c r="J22" s="11">
        <f t="shared" ref="J22:J25" si="6">SUM(G22:I22)</f>
        <v>0</v>
      </c>
      <c r="N22" s="11">
        <f t="shared" ref="N22:N31" si="7">SUM(K22:M22)</f>
        <v>0</v>
      </c>
      <c r="R22" s="11">
        <f t="shared" ref="R22:R31" si="8">SUM(O22:Q22)</f>
        <v>0</v>
      </c>
    </row>
    <row r="23" spans="1:18" x14ac:dyDescent="0.2">
      <c r="A23" s="18" t="s">
        <v>34</v>
      </c>
      <c r="F23" s="11">
        <f t="shared" ref="F23:F31" si="9">SUM(C23:E23)</f>
        <v>0</v>
      </c>
      <c r="J23" s="11">
        <f t="shared" si="6"/>
        <v>0</v>
      </c>
      <c r="N23" s="11">
        <f t="shared" si="7"/>
        <v>0</v>
      </c>
      <c r="R23" s="11">
        <f t="shared" si="8"/>
        <v>0</v>
      </c>
    </row>
    <row r="24" spans="1:18" x14ac:dyDescent="0.2">
      <c r="A24" s="18" t="s">
        <v>35</v>
      </c>
      <c r="F24" s="11">
        <f t="shared" si="9"/>
        <v>0</v>
      </c>
      <c r="J24" s="11">
        <f t="shared" si="6"/>
        <v>0</v>
      </c>
      <c r="N24" s="11">
        <f t="shared" si="7"/>
        <v>0</v>
      </c>
      <c r="R24" s="11">
        <f t="shared" si="8"/>
        <v>0</v>
      </c>
    </row>
    <row r="25" spans="1:18" x14ac:dyDescent="0.2">
      <c r="A25" s="18" t="s">
        <v>36</v>
      </c>
      <c r="F25" s="11">
        <f t="shared" si="9"/>
        <v>0</v>
      </c>
      <c r="J25" s="11">
        <f t="shared" si="6"/>
        <v>0</v>
      </c>
      <c r="N25" s="11">
        <f t="shared" si="7"/>
        <v>0</v>
      </c>
      <c r="R25" s="11">
        <f t="shared" si="8"/>
        <v>0</v>
      </c>
    </row>
    <row r="26" spans="1:18" x14ac:dyDescent="0.2">
      <c r="A26" s="18" t="s">
        <v>37</v>
      </c>
      <c r="C26" s="1">
        <v>772.8</v>
      </c>
      <c r="F26" s="11">
        <f t="shared" si="9"/>
        <v>772.8</v>
      </c>
      <c r="J26" s="11">
        <f>SUM(G26:I26)</f>
        <v>0</v>
      </c>
      <c r="N26" s="11">
        <f t="shared" si="7"/>
        <v>0</v>
      </c>
      <c r="R26" s="11">
        <f t="shared" si="8"/>
        <v>0</v>
      </c>
    </row>
    <row r="27" spans="1:18" x14ac:dyDescent="0.2">
      <c r="A27" s="18" t="s">
        <v>26</v>
      </c>
      <c r="F27" s="11">
        <f t="shared" si="9"/>
        <v>0</v>
      </c>
      <c r="J27" s="11">
        <f t="shared" ref="J27:J31" si="10">SUM(G27:I27)</f>
        <v>0</v>
      </c>
      <c r="N27" s="11">
        <f t="shared" si="7"/>
        <v>0</v>
      </c>
      <c r="R27" s="11">
        <f t="shared" si="8"/>
        <v>0</v>
      </c>
    </row>
    <row r="28" spans="1:18" x14ac:dyDescent="0.2">
      <c r="A28" s="18" t="s">
        <v>27</v>
      </c>
      <c r="F28" s="11">
        <f t="shared" si="9"/>
        <v>0</v>
      </c>
      <c r="J28" s="11">
        <f t="shared" si="10"/>
        <v>0</v>
      </c>
      <c r="N28" s="11">
        <f t="shared" si="7"/>
        <v>0</v>
      </c>
      <c r="R28" s="11">
        <f t="shared" si="8"/>
        <v>0</v>
      </c>
    </row>
    <row r="29" spans="1:18" x14ac:dyDescent="0.2">
      <c r="A29" s="18" t="s">
        <v>39</v>
      </c>
      <c r="F29" s="11">
        <f t="shared" si="9"/>
        <v>0</v>
      </c>
      <c r="J29" s="11">
        <f t="shared" si="10"/>
        <v>0</v>
      </c>
      <c r="N29" s="11">
        <f t="shared" si="7"/>
        <v>0</v>
      </c>
      <c r="R29" s="11">
        <f t="shared" si="8"/>
        <v>0</v>
      </c>
    </row>
    <row r="30" spans="1:18" x14ac:dyDescent="0.2">
      <c r="A30" s="18" t="s">
        <v>40</v>
      </c>
      <c r="F30" s="11">
        <f t="shared" si="9"/>
        <v>0</v>
      </c>
      <c r="J30" s="11">
        <f t="shared" si="10"/>
        <v>0</v>
      </c>
      <c r="N30" s="11">
        <f t="shared" si="7"/>
        <v>0</v>
      </c>
      <c r="R30" s="11">
        <f t="shared" si="8"/>
        <v>0</v>
      </c>
    </row>
    <row r="31" spans="1:18" x14ac:dyDescent="0.2">
      <c r="A31" s="18" t="s">
        <v>41</v>
      </c>
      <c r="F31" s="11">
        <f t="shared" si="9"/>
        <v>0</v>
      </c>
      <c r="J31" s="11">
        <f t="shared" si="10"/>
        <v>0</v>
      </c>
      <c r="N31" s="11">
        <f t="shared" si="7"/>
        <v>0</v>
      </c>
      <c r="R31" s="11">
        <f t="shared" si="8"/>
        <v>0</v>
      </c>
    </row>
    <row r="32" spans="1:18" x14ac:dyDescent="0.2">
      <c r="A32" s="30" t="s">
        <v>8</v>
      </c>
      <c r="C32" s="2">
        <f t="shared" ref="C32:R32" si="11">SUM(C22:C31)</f>
        <v>772.8</v>
      </c>
      <c r="D32" s="2">
        <f t="shared" si="11"/>
        <v>0</v>
      </c>
      <c r="E32" s="2">
        <f t="shared" si="11"/>
        <v>0</v>
      </c>
      <c r="F32" s="46">
        <f t="shared" si="11"/>
        <v>772.8</v>
      </c>
      <c r="G32" s="2">
        <f t="shared" si="11"/>
        <v>0</v>
      </c>
      <c r="H32" s="2">
        <f t="shared" si="11"/>
        <v>0</v>
      </c>
      <c r="I32" s="2">
        <f t="shared" si="11"/>
        <v>0</v>
      </c>
      <c r="J32" s="46">
        <f t="shared" si="11"/>
        <v>0</v>
      </c>
      <c r="K32" s="2">
        <f t="shared" si="11"/>
        <v>0</v>
      </c>
      <c r="L32" s="2">
        <f t="shared" si="11"/>
        <v>0</v>
      </c>
      <c r="M32" s="2">
        <f t="shared" si="11"/>
        <v>0</v>
      </c>
      <c r="N32" s="46">
        <f t="shared" si="11"/>
        <v>0</v>
      </c>
      <c r="O32" s="2">
        <f t="shared" si="11"/>
        <v>0</v>
      </c>
      <c r="P32" s="2">
        <f t="shared" si="11"/>
        <v>0</v>
      </c>
      <c r="Q32" s="2">
        <f t="shared" si="11"/>
        <v>0</v>
      </c>
      <c r="R32" s="46">
        <f t="shared" si="11"/>
        <v>0</v>
      </c>
    </row>
    <row r="33" spans="1:18" x14ac:dyDescent="0.2">
      <c r="A33" s="31" t="s">
        <v>31</v>
      </c>
      <c r="B33" s="20"/>
      <c r="C33" s="21"/>
      <c r="D33" s="21"/>
      <c r="E33" s="21"/>
      <c r="F33" s="26"/>
      <c r="G33" s="21"/>
      <c r="H33" s="21"/>
      <c r="I33" s="21"/>
      <c r="J33" s="22"/>
      <c r="K33" s="21"/>
      <c r="L33" s="21"/>
      <c r="M33" s="21"/>
      <c r="N33" s="22"/>
      <c r="O33" s="21"/>
      <c r="P33" s="21"/>
      <c r="Q33" s="21"/>
      <c r="R33" s="22">
        <f t="shared" ref="R33:R40" si="12">SUM(O33:Q33)</f>
        <v>0</v>
      </c>
    </row>
    <row r="34" spans="1:18" x14ac:dyDescent="0.2">
      <c r="A34" s="18" t="s">
        <v>18</v>
      </c>
      <c r="C34" s="1">
        <f>186.85+18</f>
        <v>204.85</v>
      </c>
      <c r="F34" s="11">
        <f t="shared" ref="F34:F40" si="13">SUM(C34:E34)</f>
        <v>204.85</v>
      </c>
      <c r="J34" s="11">
        <f t="shared" ref="J34:J40" si="14">SUM(G34:I34)</f>
        <v>0</v>
      </c>
      <c r="N34" s="11">
        <f t="shared" ref="N34:N40" si="15">SUM(K34:M34)</f>
        <v>0</v>
      </c>
      <c r="R34" s="11">
        <f t="shared" si="12"/>
        <v>0</v>
      </c>
    </row>
    <row r="35" spans="1:18" x14ac:dyDescent="0.2">
      <c r="A35" s="18" t="s">
        <v>7</v>
      </c>
      <c r="F35" s="11">
        <f t="shared" si="13"/>
        <v>0</v>
      </c>
      <c r="J35" s="11">
        <f t="shared" si="14"/>
        <v>0</v>
      </c>
      <c r="N35" s="11">
        <f t="shared" si="15"/>
        <v>0</v>
      </c>
      <c r="R35" s="11">
        <f t="shared" si="12"/>
        <v>0</v>
      </c>
    </row>
    <row r="36" spans="1:18" x14ac:dyDescent="0.2">
      <c r="A36" s="18" t="s">
        <v>32</v>
      </c>
      <c r="F36" s="11">
        <f t="shared" si="13"/>
        <v>0</v>
      </c>
      <c r="J36" s="11">
        <f t="shared" si="14"/>
        <v>0</v>
      </c>
      <c r="N36" s="11">
        <f t="shared" si="15"/>
        <v>0</v>
      </c>
      <c r="R36" s="11">
        <f t="shared" si="12"/>
        <v>0</v>
      </c>
    </row>
    <row r="37" spans="1:18" x14ac:dyDescent="0.2">
      <c r="A37" s="18" t="s">
        <v>33</v>
      </c>
      <c r="F37" s="11">
        <f t="shared" si="13"/>
        <v>0</v>
      </c>
      <c r="J37" s="11">
        <f t="shared" si="14"/>
        <v>0</v>
      </c>
      <c r="N37" s="11">
        <f t="shared" si="15"/>
        <v>0</v>
      </c>
      <c r="R37" s="11">
        <f t="shared" si="12"/>
        <v>0</v>
      </c>
    </row>
    <row r="38" spans="1:18" x14ac:dyDescent="0.2">
      <c r="A38" s="18" t="s">
        <v>38</v>
      </c>
      <c r="F38" s="11">
        <f t="shared" si="13"/>
        <v>0</v>
      </c>
      <c r="J38" s="11">
        <f t="shared" si="14"/>
        <v>0</v>
      </c>
      <c r="N38" s="11">
        <f t="shared" si="15"/>
        <v>0</v>
      </c>
      <c r="R38" s="11">
        <f t="shared" si="12"/>
        <v>0</v>
      </c>
    </row>
    <row r="39" spans="1:18" x14ac:dyDescent="0.2">
      <c r="A39" s="18" t="s">
        <v>46</v>
      </c>
      <c r="F39" s="11">
        <f t="shared" si="13"/>
        <v>0</v>
      </c>
      <c r="J39" s="11">
        <f t="shared" si="14"/>
        <v>0</v>
      </c>
      <c r="N39" s="11">
        <f t="shared" si="15"/>
        <v>0</v>
      </c>
      <c r="R39" s="11">
        <f t="shared" si="12"/>
        <v>0</v>
      </c>
    </row>
    <row r="40" spans="1:18" x14ac:dyDescent="0.2">
      <c r="A40" s="18" t="s">
        <v>47</v>
      </c>
      <c r="F40" s="11">
        <f t="shared" si="13"/>
        <v>0</v>
      </c>
      <c r="J40" s="11">
        <f t="shared" si="14"/>
        <v>0</v>
      </c>
      <c r="N40" s="11">
        <f t="shared" si="15"/>
        <v>0</v>
      </c>
      <c r="R40" s="11">
        <f t="shared" si="12"/>
        <v>0</v>
      </c>
    </row>
    <row r="41" spans="1:18" x14ac:dyDescent="0.2">
      <c r="A41" s="30" t="s">
        <v>8</v>
      </c>
      <c r="C41" s="2">
        <f t="shared" ref="C41:R41" si="16">SUM(C34:C40)</f>
        <v>204.85</v>
      </c>
      <c r="D41" s="2">
        <f t="shared" si="16"/>
        <v>0</v>
      </c>
      <c r="E41" s="2">
        <f t="shared" si="16"/>
        <v>0</v>
      </c>
      <c r="F41" s="45">
        <f t="shared" si="16"/>
        <v>204.85</v>
      </c>
      <c r="G41" s="2">
        <f t="shared" si="16"/>
        <v>0</v>
      </c>
      <c r="H41" s="2">
        <f t="shared" si="16"/>
        <v>0</v>
      </c>
      <c r="I41" s="2">
        <f t="shared" si="16"/>
        <v>0</v>
      </c>
      <c r="J41" s="45">
        <f t="shared" si="16"/>
        <v>0</v>
      </c>
      <c r="K41" s="2">
        <f t="shared" si="16"/>
        <v>0</v>
      </c>
      <c r="L41" s="2">
        <f t="shared" si="16"/>
        <v>0</v>
      </c>
      <c r="M41" s="2">
        <f t="shared" si="16"/>
        <v>0</v>
      </c>
      <c r="N41" s="45">
        <f t="shared" si="16"/>
        <v>0</v>
      </c>
      <c r="O41" s="2">
        <f t="shared" si="16"/>
        <v>0</v>
      </c>
      <c r="P41" s="2">
        <f t="shared" si="16"/>
        <v>0</v>
      </c>
      <c r="Q41" s="2">
        <f t="shared" si="16"/>
        <v>0</v>
      </c>
      <c r="R41" s="45">
        <f t="shared" si="16"/>
        <v>0</v>
      </c>
    </row>
    <row r="42" spans="1:18" x14ac:dyDescent="0.2">
      <c r="A42" s="25" t="s">
        <v>42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A43" s="18" t="s">
        <v>43</v>
      </c>
      <c r="F43" s="11">
        <f t="shared" ref="F43:F46" si="17">SUM(C43:E43)</f>
        <v>0</v>
      </c>
      <c r="J43" s="11">
        <f t="shared" ref="J43:J46" si="18">SUM(G43:I43)</f>
        <v>0</v>
      </c>
      <c r="N43" s="11">
        <f t="shared" ref="N43:N46" si="19">SUM(K43:M43)</f>
        <v>0</v>
      </c>
      <c r="R43" s="11">
        <f t="shared" ref="R43:R46" si="20">SUM(O43:Q43)</f>
        <v>0</v>
      </c>
    </row>
    <row r="44" spans="1:18" x14ac:dyDescent="0.2">
      <c r="A44" s="18" t="s">
        <v>44</v>
      </c>
      <c r="F44" s="11">
        <f t="shared" si="17"/>
        <v>0</v>
      </c>
      <c r="J44" s="11">
        <f t="shared" si="18"/>
        <v>0</v>
      </c>
      <c r="N44" s="11">
        <f t="shared" si="19"/>
        <v>0</v>
      </c>
      <c r="R44" s="11">
        <f t="shared" si="20"/>
        <v>0</v>
      </c>
    </row>
    <row r="45" spans="1:18" x14ac:dyDescent="0.2">
      <c r="A45" s="18" t="s">
        <v>45</v>
      </c>
      <c r="F45" s="11">
        <f t="shared" si="17"/>
        <v>0</v>
      </c>
      <c r="J45" s="11">
        <f t="shared" si="18"/>
        <v>0</v>
      </c>
      <c r="N45" s="11">
        <f t="shared" si="19"/>
        <v>0</v>
      </c>
      <c r="R45" s="11">
        <f t="shared" si="20"/>
        <v>0</v>
      </c>
    </row>
    <row r="46" spans="1:18" x14ac:dyDescent="0.2">
      <c r="A46" s="18" t="s">
        <v>48</v>
      </c>
      <c r="C46" s="1">
        <v>20</v>
      </c>
      <c r="F46" s="11">
        <f t="shared" si="17"/>
        <v>20</v>
      </c>
      <c r="J46" s="11">
        <f t="shared" si="18"/>
        <v>0</v>
      </c>
      <c r="N46" s="11">
        <f t="shared" si="19"/>
        <v>0</v>
      </c>
      <c r="R46" s="11">
        <f t="shared" si="20"/>
        <v>0</v>
      </c>
    </row>
    <row r="47" spans="1:18" x14ac:dyDescent="0.2">
      <c r="A47" s="30" t="s">
        <v>8</v>
      </c>
      <c r="C47" s="2">
        <f t="shared" ref="C47:R47" si="21">SUM(C43:C46)</f>
        <v>20</v>
      </c>
      <c r="D47" s="2">
        <f t="shared" si="21"/>
        <v>0</v>
      </c>
      <c r="E47" s="2">
        <f t="shared" si="21"/>
        <v>0</v>
      </c>
      <c r="F47" s="46">
        <f t="shared" si="21"/>
        <v>20</v>
      </c>
      <c r="G47" s="2">
        <f t="shared" si="21"/>
        <v>0</v>
      </c>
      <c r="H47" s="2">
        <f t="shared" si="21"/>
        <v>0</v>
      </c>
      <c r="I47" s="2">
        <f t="shared" si="21"/>
        <v>0</v>
      </c>
      <c r="J47" s="46">
        <f t="shared" si="21"/>
        <v>0</v>
      </c>
      <c r="K47" s="2">
        <f t="shared" si="21"/>
        <v>0</v>
      </c>
      <c r="L47" s="2">
        <f t="shared" si="21"/>
        <v>0</v>
      </c>
      <c r="M47" s="2">
        <f t="shared" si="21"/>
        <v>0</v>
      </c>
      <c r="N47" s="46">
        <f t="shared" si="21"/>
        <v>0</v>
      </c>
      <c r="O47" s="2">
        <f t="shared" si="21"/>
        <v>0</v>
      </c>
      <c r="P47" s="2">
        <f t="shared" si="21"/>
        <v>0</v>
      </c>
      <c r="Q47" s="2">
        <f t="shared" si="21"/>
        <v>0</v>
      </c>
      <c r="R47" s="46">
        <f t="shared" si="21"/>
        <v>0</v>
      </c>
    </row>
    <row r="48" spans="1:18" x14ac:dyDescent="0.2">
      <c r="A48" s="2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2">
      <c r="A49" s="30" t="s">
        <v>62</v>
      </c>
      <c r="C49" s="1">
        <f>C32+C41+C47</f>
        <v>997.65</v>
      </c>
      <c r="D49" s="1">
        <f t="shared" ref="D49:E49" si="22">D32+D41+CY47</f>
        <v>0</v>
      </c>
      <c r="E49" s="1">
        <f t="shared" si="22"/>
        <v>0</v>
      </c>
      <c r="F49" s="49">
        <f t="shared" ref="F49:R49" si="23">F32+F41+F47</f>
        <v>997.65</v>
      </c>
      <c r="G49" s="1">
        <f t="shared" si="23"/>
        <v>0</v>
      </c>
      <c r="H49" s="1">
        <f t="shared" si="23"/>
        <v>0</v>
      </c>
      <c r="I49" s="1">
        <f t="shared" si="23"/>
        <v>0</v>
      </c>
      <c r="J49" s="49">
        <f t="shared" si="23"/>
        <v>0</v>
      </c>
      <c r="K49" s="1">
        <f t="shared" si="23"/>
        <v>0</v>
      </c>
      <c r="L49" s="1">
        <f t="shared" si="23"/>
        <v>0</v>
      </c>
      <c r="M49" s="1">
        <f t="shared" si="23"/>
        <v>0</v>
      </c>
      <c r="N49" s="49">
        <f t="shared" si="23"/>
        <v>0</v>
      </c>
      <c r="O49" s="1">
        <f t="shared" si="23"/>
        <v>0</v>
      </c>
      <c r="P49" s="1">
        <f t="shared" si="23"/>
        <v>0</v>
      </c>
      <c r="Q49" s="1">
        <f t="shared" si="23"/>
        <v>0</v>
      </c>
      <c r="R49" s="49">
        <f t="shared" si="23"/>
        <v>0</v>
      </c>
    </row>
    <row r="50" spans="1:18" x14ac:dyDescent="0.2">
      <c r="A50" s="36"/>
      <c r="C50" s="32"/>
      <c r="D50" s="32"/>
      <c r="E50" s="32"/>
      <c r="F50" s="49"/>
      <c r="G50" s="32"/>
      <c r="H50" s="32"/>
      <c r="I50" s="32"/>
      <c r="J50" s="49"/>
      <c r="K50" s="32"/>
      <c r="L50" s="32"/>
      <c r="M50" s="32"/>
      <c r="N50" s="49"/>
      <c r="O50" s="32"/>
      <c r="P50" s="32"/>
      <c r="Q50" s="32"/>
      <c r="R50" s="49"/>
    </row>
    <row r="51" spans="1:18" x14ac:dyDescent="0.2">
      <c r="A51" s="30" t="s">
        <v>17</v>
      </c>
      <c r="C51" s="50">
        <f t="shared" ref="C51:R51" si="24">C18-C49</f>
        <v>2903.68</v>
      </c>
      <c r="D51" s="50">
        <f t="shared" si="24"/>
        <v>0</v>
      </c>
      <c r="E51" s="50">
        <f t="shared" si="24"/>
        <v>0</v>
      </c>
      <c r="F51" s="51">
        <f t="shared" si="24"/>
        <v>2903.68</v>
      </c>
      <c r="G51" s="50">
        <f t="shared" si="24"/>
        <v>0</v>
      </c>
      <c r="H51" s="50">
        <f t="shared" si="24"/>
        <v>0</v>
      </c>
      <c r="I51" s="50">
        <f t="shared" si="24"/>
        <v>0</v>
      </c>
      <c r="J51" s="51">
        <f t="shared" si="24"/>
        <v>0</v>
      </c>
      <c r="K51" s="50">
        <f t="shared" si="24"/>
        <v>0</v>
      </c>
      <c r="L51" s="50">
        <f t="shared" si="24"/>
        <v>0</v>
      </c>
      <c r="M51" s="50">
        <f t="shared" si="24"/>
        <v>0</v>
      </c>
      <c r="N51" s="51">
        <f t="shared" si="24"/>
        <v>0</v>
      </c>
      <c r="O51" s="50">
        <f t="shared" si="24"/>
        <v>0</v>
      </c>
      <c r="P51" s="50">
        <f t="shared" si="24"/>
        <v>0</v>
      </c>
      <c r="Q51" s="50">
        <f t="shared" si="24"/>
        <v>0</v>
      </c>
      <c r="R51" s="51">
        <f t="shared" si="24"/>
        <v>0</v>
      </c>
    </row>
    <row r="52" spans="1:18" x14ac:dyDescent="0.2">
      <c r="F52" s="67"/>
      <c r="J52" s="67"/>
      <c r="N52" s="67"/>
      <c r="R52" s="67"/>
    </row>
    <row r="55" spans="1:18" x14ac:dyDescent="0.2">
      <c r="O55" s="52"/>
    </row>
    <row r="56" spans="1:18" x14ac:dyDescent="0.2">
      <c r="O56" s="52"/>
    </row>
    <row r="57" spans="1:18" x14ac:dyDescent="0.2">
      <c r="O57" s="52"/>
    </row>
    <row r="58" spans="1:18" x14ac:dyDescent="0.2">
      <c r="O58" s="52"/>
    </row>
    <row r="59" spans="1:18" x14ac:dyDescent="0.2">
      <c r="B59" s="55"/>
      <c r="C59" s="2"/>
      <c r="D59" s="2"/>
      <c r="E59" s="2"/>
      <c r="R59" s="53"/>
    </row>
    <row r="60" spans="1:18" x14ac:dyDescent="0.2">
      <c r="B60" s="1"/>
      <c r="R60" s="53"/>
    </row>
    <row r="61" spans="1:18" x14ac:dyDescent="0.2">
      <c r="A61" s="18"/>
      <c r="B61" s="1"/>
      <c r="J61" s="54"/>
      <c r="R61" s="53"/>
    </row>
    <row r="62" spans="1:18" x14ac:dyDescent="0.2">
      <c r="A62" s="18"/>
      <c r="B62" s="1"/>
      <c r="R62" s="53"/>
    </row>
    <row r="63" spans="1:18" x14ac:dyDescent="0.2">
      <c r="A63" s="18"/>
      <c r="B63" s="1"/>
      <c r="R63" s="53"/>
    </row>
    <row r="64" spans="1:18" x14ac:dyDescent="0.2">
      <c r="B64" s="1"/>
    </row>
    <row r="65" spans="2:5" x14ac:dyDescent="0.2">
      <c r="B65" s="52"/>
      <c r="C65" s="56"/>
      <c r="D65" s="56"/>
      <c r="E65" s="56"/>
    </row>
  </sheetData>
  <mergeCells count="3">
    <mergeCell ref="A2:B2"/>
    <mergeCell ref="A3:B3"/>
    <mergeCell ref="A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A1A9-4EDC-4C53-8705-F49A1F3E08E3}">
  <dimension ref="A1:R65"/>
  <sheetViews>
    <sheetView workbookViewId="0">
      <selection activeCell="A2" sqref="A2:B2"/>
    </sheetView>
  </sheetViews>
  <sheetFormatPr baseColWidth="10" defaultColWidth="8.83203125" defaultRowHeight="15" x14ac:dyDescent="0.2"/>
  <cols>
    <col min="1" max="1" width="30.5" style="77" customWidth="1"/>
    <col min="2" max="2" width="12.33203125" style="77" customWidth="1"/>
    <col min="3" max="4" width="13.5" style="78" customWidth="1"/>
    <col min="5" max="5" width="12.83203125" style="78" customWidth="1"/>
    <col min="6" max="6" width="13.5" style="78" customWidth="1"/>
    <col min="7" max="7" width="13.5" style="78" bestFit="1" customWidth="1"/>
    <col min="8" max="8" width="15.6640625" style="78" bestFit="1" customWidth="1"/>
    <col min="9" max="9" width="13.1640625" style="78" bestFit="1" customWidth="1"/>
    <col min="10" max="10" width="14.6640625" style="78" bestFit="1" customWidth="1"/>
    <col min="11" max="11" width="13.5" style="78" bestFit="1" customWidth="1"/>
    <col min="12" max="13" width="13.1640625" style="78" bestFit="1" customWidth="1"/>
    <col min="14" max="14" width="13.5" style="78" bestFit="1" customWidth="1"/>
    <col min="15" max="16" width="13.1640625" style="78" bestFit="1" customWidth="1"/>
    <col min="17" max="17" width="13.6640625" style="78" bestFit="1" customWidth="1"/>
    <col min="18" max="18" width="13.1640625" style="78" bestFit="1" customWidth="1"/>
    <col min="19" max="16384" width="8.83203125" style="77"/>
  </cols>
  <sheetData>
    <row r="1" spans="1:18" x14ac:dyDescent="0.2">
      <c r="A1" s="74" t="s">
        <v>51</v>
      </c>
      <c r="B1" s="75" t="s">
        <v>53</v>
      </c>
      <c r="C1" s="76"/>
      <c r="D1" s="76"/>
      <c r="E1" s="77"/>
      <c r="F1" s="77"/>
      <c r="G1" s="77"/>
      <c r="H1" s="77"/>
    </row>
    <row r="2" spans="1:18" x14ac:dyDescent="0.2">
      <c r="A2" s="121"/>
      <c r="B2" s="121"/>
      <c r="D2" s="79"/>
      <c r="E2" s="80"/>
    </row>
    <row r="3" spans="1:18" x14ac:dyDescent="0.2">
      <c r="A3" s="121"/>
      <c r="B3" s="121"/>
    </row>
    <row r="4" spans="1:18" x14ac:dyDescent="0.2">
      <c r="A4" s="122" t="s">
        <v>19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x14ac:dyDescent="0.2">
      <c r="A5" s="82"/>
      <c r="B5" s="82"/>
      <c r="C5" s="83" t="s">
        <v>10</v>
      </c>
      <c r="D5" s="83" t="s">
        <v>11</v>
      </c>
      <c r="E5" s="83" t="s">
        <v>12</v>
      </c>
      <c r="F5" s="84" t="s">
        <v>3</v>
      </c>
      <c r="G5" s="83" t="s">
        <v>13</v>
      </c>
      <c r="H5" s="83" t="s">
        <v>14</v>
      </c>
      <c r="I5" s="83" t="s">
        <v>15</v>
      </c>
      <c r="J5" s="84" t="s">
        <v>4</v>
      </c>
      <c r="K5" s="83" t="s">
        <v>54</v>
      </c>
      <c r="L5" s="83" t="s">
        <v>55</v>
      </c>
      <c r="M5" s="83" t="s">
        <v>56</v>
      </c>
      <c r="N5" s="84" t="s">
        <v>5</v>
      </c>
      <c r="O5" s="83" t="s">
        <v>57</v>
      </c>
      <c r="P5" s="83" t="s">
        <v>58</v>
      </c>
      <c r="Q5" s="83" t="s">
        <v>59</v>
      </c>
      <c r="R5" s="84" t="s">
        <v>6</v>
      </c>
    </row>
    <row r="6" spans="1:18" s="85" customFormat="1" ht="16" x14ac:dyDescent="0.2">
      <c r="A6" s="85" t="s">
        <v>23</v>
      </c>
      <c r="C6" s="86">
        <v>300</v>
      </c>
      <c r="D6" s="86">
        <v>640</v>
      </c>
      <c r="E6" s="86">
        <v>410</v>
      </c>
      <c r="F6" s="87">
        <f>SUM(C6:E6)</f>
        <v>1350</v>
      </c>
      <c r="G6" s="86"/>
      <c r="H6" s="86">
        <v>3845</v>
      </c>
      <c r="I6" s="86"/>
      <c r="J6" s="88">
        <f>SUM(G6:I6)</f>
        <v>3845</v>
      </c>
      <c r="K6" s="86">
        <v>300</v>
      </c>
      <c r="L6" s="86"/>
      <c r="M6" s="86"/>
      <c r="N6" s="88">
        <f>SUM(K6:M6)</f>
        <v>300</v>
      </c>
      <c r="O6" s="86"/>
      <c r="P6" s="86">
        <v>220</v>
      </c>
      <c r="Q6" s="86"/>
      <c r="R6" s="88">
        <f>SUM(O6:Q6)</f>
        <v>220</v>
      </c>
    </row>
    <row r="7" spans="1:18" s="85" customFormat="1" ht="16" x14ac:dyDescent="0.2">
      <c r="A7" s="85" t="s">
        <v>22</v>
      </c>
      <c r="C7" s="86"/>
      <c r="D7" s="86"/>
      <c r="E7" s="86"/>
      <c r="F7" s="87">
        <f t="shared" ref="F7:F17" si="0">SUM(C7:E7)</f>
        <v>0</v>
      </c>
      <c r="G7" s="86"/>
      <c r="H7" s="86"/>
      <c r="I7" s="86"/>
      <c r="J7" s="88">
        <f t="shared" ref="J7:J17" si="1">SUM(G7:I7)</f>
        <v>0</v>
      </c>
      <c r="K7" s="86"/>
      <c r="L7" s="86"/>
      <c r="M7" s="86"/>
      <c r="N7" s="88">
        <f t="shared" ref="N7:N17" si="2">SUM(K7:M7)</f>
        <v>0</v>
      </c>
      <c r="O7" s="86"/>
      <c r="P7" s="86"/>
      <c r="Q7" s="86">
        <v>100</v>
      </c>
      <c r="R7" s="88">
        <f t="shared" ref="R7:R16" si="3">SUM(O7:Q7)</f>
        <v>100</v>
      </c>
    </row>
    <row r="8" spans="1:18" s="85" customFormat="1" ht="16" x14ac:dyDescent="0.2">
      <c r="A8" s="85" t="s">
        <v>20</v>
      </c>
      <c r="C8" s="86"/>
      <c r="D8" s="86"/>
      <c r="E8" s="86"/>
      <c r="F8" s="87">
        <f t="shared" si="0"/>
        <v>0</v>
      </c>
      <c r="G8" s="86"/>
      <c r="H8" s="86"/>
      <c r="I8" s="86"/>
      <c r="J8" s="88">
        <f t="shared" si="1"/>
        <v>0</v>
      </c>
      <c r="K8" s="86"/>
      <c r="L8" s="86"/>
      <c r="M8" s="86"/>
      <c r="N8" s="88">
        <f t="shared" si="2"/>
        <v>0</v>
      </c>
      <c r="O8" s="86"/>
      <c r="P8" s="86"/>
      <c r="Q8" s="86"/>
      <c r="R8" s="88">
        <f t="shared" si="3"/>
        <v>0</v>
      </c>
    </row>
    <row r="9" spans="1:18" s="85" customFormat="1" ht="16" x14ac:dyDescent="0.2">
      <c r="A9" s="85" t="s">
        <v>21</v>
      </c>
      <c r="C9" s="86"/>
      <c r="D9" s="86">
        <v>5824.5</v>
      </c>
      <c r="E9" s="86"/>
      <c r="F9" s="87">
        <f t="shared" si="0"/>
        <v>5824.5</v>
      </c>
      <c r="G9" s="86"/>
      <c r="H9" s="86"/>
      <c r="I9" s="86"/>
      <c r="J9" s="88">
        <f t="shared" si="1"/>
        <v>0</v>
      </c>
      <c r="K9" s="86">
        <f>12341.38+696</f>
        <v>13037.38</v>
      </c>
      <c r="L9" s="86"/>
      <c r="M9" s="86">
        <v>2820</v>
      </c>
      <c r="N9" s="88">
        <f t="shared" si="2"/>
        <v>15857.38</v>
      </c>
      <c r="O9" s="86"/>
      <c r="P9" s="86">
        <f>23.83+1517.74+307.5+6298.96+2132.81</f>
        <v>10280.84</v>
      </c>
      <c r="Q9" s="86">
        <f>4819.82+210.63+2675.69</f>
        <v>7706.1399999999994</v>
      </c>
      <c r="R9" s="88">
        <f t="shared" si="3"/>
        <v>17986.98</v>
      </c>
    </row>
    <row r="10" spans="1:18" s="85" customFormat="1" ht="16" x14ac:dyDescent="0.2">
      <c r="A10" s="85" t="s">
        <v>24</v>
      </c>
      <c r="C10" s="86">
        <v>5445.38</v>
      </c>
      <c r="D10" s="86"/>
      <c r="E10" s="86">
        <v>2980.78</v>
      </c>
      <c r="F10" s="87">
        <f t="shared" si="0"/>
        <v>8426.16</v>
      </c>
      <c r="G10" s="86">
        <f>10793.84+965.05</f>
        <v>11758.89</v>
      </c>
      <c r="H10" s="86">
        <v>2948.51</v>
      </c>
      <c r="I10" s="86">
        <v>334.8</v>
      </c>
      <c r="J10" s="88">
        <f t="shared" si="1"/>
        <v>15042.199999999999</v>
      </c>
      <c r="K10" s="86">
        <v>3432.67</v>
      </c>
      <c r="L10" s="86">
        <v>325.44</v>
      </c>
      <c r="M10" s="86">
        <v>158.13999999999999</v>
      </c>
      <c r="N10" s="88">
        <f t="shared" si="2"/>
        <v>3916.25</v>
      </c>
      <c r="O10" s="86">
        <f>134.82+99.59</f>
        <v>234.41</v>
      </c>
      <c r="P10" s="86">
        <f>96.2+95.51</f>
        <v>191.71</v>
      </c>
      <c r="Q10" s="86">
        <v>2596.37</v>
      </c>
      <c r="R10" s="88">
        <f t="shared" si="3"/>
        <v>3022.49</v>
      </c>
    </row>
    <row r="11" spans="1:18" s="85" customFormat="1" ht="16" x14ac:dyDescent="0.2">
      <c r="A11" s="85" t="s">
        <v>25</v>
      </c>
      <c r="C11" s="86"/>
      <c r="D11" s="86"/>
      <c r="E11" s="86"/>
      <c r="F11" s="87">
        <f t="shared" si="0"/>
        <v>0</v>
      </c>
      <c r="G11" s="86"/>
      <c r="H11" s="86"/>
      <c r="I11" s="86"/>
      <c r="J11" s="88">
        <f t="shared" si="1"/>
        <v>0</v>
      </c>
      <c r="K11" s="86"/>
      <c r="L11" s="86"/>
      <c r="M11" s="86"/>
      <c r="N11" s="88">
        <f t="shared" si="2"/>
        <v>0</v>
      </c>
      <c r="O11" s="86"/>
      <c r="P11" s="86"/>
      <c r="Q11" s="86"/>
      <c r="R11" s="88">
        <f t="shared" si="3"/>
        <v>0</v>
      </c>
    </row>
    <row r="12" spans="1:18" s="85" customFormat="1" ht="16" x14ac:dyDescent="0.2">
      <c r="A12" s="85" t="s">
        <v>26</v>
      </c>
      <c r="C12" s="86"/>
      <c r="D12" s="86"/>
      <c r="E12" s="86"/>
      <c r="F12" s="87">
        <f t="shared" si="0"/>
        <v>0</v>
      </c>
      <c r="G12" s="86"/>
      <c r="H12" s="86"/>
      <c r="I12" s="86"/>
      <c r="J12" s="88">
        <f t="shared" si="1"/>
        <v>0</v>
      </c>
      <c r="K12" s="86"/>
      <c r="L12" s="86"/>
      <c r="M12" s="86"/>
      <c r="N12" s="88">
        <f t="shared" si="2"/>
        <v>0</v>
      </c>
      <c r="O12" s="86"/>
      <c r="P12" s="86"/>
      <c r="Q12" s="86"/>
      <c r="R12" s="88">
        <f t="shared" si="3"/>
        <v>0</v>
      </c>
    </row>
    <row r="13" spans="1:18" s="85" customFormat="1" ht="16" x14ac:dyDescent="0.2">
      <c r="A13" s="85" t="s">
        <v>27</v>
      </c>
      <c r="C13" s="86"/>
      <c r="D13" s="86"/>
      <c r="E13" s="86"/>
      <c r="F13" s="87">
        <f t="shared" si="0"/>
        <v>0</v>
      </c>
      <c r="G13" s="86"/>
      <c r="H13" s="86"/>
      <c r="I13" s="86"/>
      <c r="J13" s="88">
        <f t="shared" si="1"/>
        <v>0</v>
      </c>
      <c r="K13" s="86"/>
      <c r="L13" s="86"/>
      <c r="M13" s="86"/>
      <c r="N13" s="88">
        <f t="shared" si="2"/>
        <v>0</v>
      </c>
      <c r="O13" s="86"/>
      <c r="P13" s="86"/>
      <c r="Q13" s="86"/>
      <c r="R13" s="88">
        <f t="shared" si="3"/>
        <v>0</v>
      </c>
    </row>
    <row r="14" spans="1:18" s="85" customFormat="1" ht="16" x14ac:dyDescent="0.2">
      <c r="A14" s="85" t="s">
        <v>28</v>
      </c>
      <c r="C14" s="86">
        <v>40</v>
      </c>
      <c r="D14" s="86"/>
      <c r="E14" s="86">
        <v>5.08</v>
      </c>
      <c r="F14" s="87">
        <f t="shared" si="0"/>
        <v>45.08</v>
      </c>
      <c r="G14" s="86">
        <v>3629</v>
      </c>
      <c r="H14" s="86"/>
      <c r="I14" s="86"/>
      <c r="J14" s="88">
        <f t="shared" si="1"/>
        <v>3629</v>
      </c>
      <c r="K14" s="86"/>
      <c r="L14" s="86"/>
      <c r="M14" s="86"/>
      <c r="N14" s="88">
        <f t="shared" si="2"/>
        <v>0</v>
      </c>
      <c r="O14" s="86"/>
      <c r="P14" s="86"/>
      <c r="Q14" s="86">
        <v>155</v>
      </c>
      <c r="R14" s="88">
        <f t="shared" si="3"/>
        <v>155</v>
      </c>
    </row>
    <row r="15" spans="1:18" s="85" customFormat="1" ht="16" x14ac:dyDescent="0.2">
      <c r="A15" s="85" t="s">
        <v>16</v>
      </c>
      <c r="C15" s="86"/>
      <c r="D15" s="86"/>
      <c r="E15" s="86"/>
      <c r="F15" s="87">
        <f t="shared" si="0"/>
        <v>0</v>
      </c>
      <c r="G15" s="86"/>
      <c r="H15" s="86">
        <v>11.11</v>
      </c>
      <c r="I15" s="86"/>
      <c r="J15" s="88">
        <f t="shared" si="1"/>
        <v>11.11</v>
      </c>
      <c r="K15" s="86">
        <v>216.9</v>
      </c>
      <c r="L15" s="86"/>
      <c r="M15" s="86"/>
      <c r="N15" s="88">
        <f t="shared" si="2"/>
        <v>216.9</v>
      </c>
      <c r="O15" s="86"/>
      <c r="P15" s="86">
        <v>6.4</v>
      </c>
      <c r="Q15" s="86">
        <v>545</v>
      </c>
      <c r="R15" s="88">
        <f t="shared" si="3"/>
        <v>551.4</v>
      </c>
    </row>
    <row r="16" spans="1:18" s="85" customFormat="1" ht="16" x14ac:dyDescent="0.2">
      <c r="C16" s="86"/>
      <c r="D16" s="86"/>
      <c r="E16" s="86"/>
      <c r="F16" s="87">
        <f t="shared" si="0"/>
        <v>0</v>
      </c>
      <c r="G16" s="86"/>
      <c r="H16" s="86"/>
      <c r="I16" s="86"/>
      <c r="J16" s="88">
        <f t="shared" si="1"/>
        <v>0</v>
      </c>
      <c r="K16" s="86"/>
      <c r="L16" s="86"/>
      <c r="M16" s="86"/>
      <c r="N16" s="88">
        <f t="shared" si="2"/>
        <v>0</v>
      </c>
      <c r="O16" s="86"/>
      <c r="P16" s="86"/>
      <c r="Q16" s="86"/>
      <c r="R16" s="88">
        <f t="shared" si="3"/>
        <v>0</v>
      </c>
    </row>
    <row r="17" spans="1:18" s="85" customFormat="1" ht="16" x14ac:dyDescent="0.2">
      <c r="C17" s="89"/>
      <c r="D17" s="89"/>
      <c r="E17" s="89"/>
      <c r="F17" s="90">
        <f t="shared" si="0"/>
        <v>0</v>
      </c>
      <c r="G17" s="89"/>
      <c r="H17" s="89"/>
      <c r="I17" s="89"/>
      <c r="J17" s="91">
        <f t="shared" si="1"/>
        <v>0</v>
      </c>
      <c r="K17" s="89"/>
      <c r="L17" s="89"/>
      <c r="M17" s="89"/>
      <c r="N17" s="91">
        <f t="shared" si="2"/>
        <v>0</v>
      </c>
      <c r="O17" s="89"/>
      <c r="P17" s="89"/>
      <c r="Q17" s="89"/>
      <c r="R17" s="91">
        <f t="shared" ref="R17" si="4">SUM(O17:Q17)</f>
        <v>0</v>
      </c>
    </row>
    <row r="18" spans="1:18" s="85" customFormat="1" x14ac:dyDescent="0.2">
      <c r="A18" s="92" t="s">
        <v>9</v>
      </c>
      <c r="C18" s="93">
        <f t="shared" ref="C18:R18" si="5">SUM(C6:C17)</f>
        <v>5785.38</v>
      </c>
      <c r="D18" s="93">
        <f t="shared" si="5"/>
        <v>6464.5</v>
      </c>
      <c r="E18" s="93">
        <f t="shared" si="5"/>
        <v>3395.86</v>
      </c>
      <c r="F18" s="94">
        <f t="shared" si="5"/>
        <v>15645.74</v>
      </c>
      <c r="G18" s="93">
        <f t="shared" si="5"/>
        <v>15387.89</v>
      </c>
      <c r="H18" s="93">
        <f t="shared" si="5"/>
        <v>6804.62</v>
      </c>
      <c r="I18" s="93">
        <f t="shared" si="5"/>
        <v>334.8</v>
      </c>
      <c r="J18" s="94">
        <f t="shared" si="5"/>
        <v>22527.309999999998</v>
      </c>
      <c r="K18" s="93">
        <f t="shared" si="5"/>
        <v>16986.95</v>
      </c>
      <c r="L18" s="93">
        <f t="shared" si="5"/>
        <v>325.44</v>
      </c>
      <c r="M18" s="93">
        <f t="shared" si="5"/>
        <v>2978.14</v>
      </c>
      <c r="N18" s="94">
        <f t="shared" si="5"/>
        <v>20290.53</v>
      </c>
      <c r="O18" s="93">
        <f t="shared" si="5"/>
        <v>234.41</v>
      </c>
      <c r="P18" s="93">
        <f t="shared" si="5"/>
        <v>10698.949999999999</v>
      </c>
      <c r="Q18" s="93">
        <f t="shared" si="5"/>
        <v>11102.509999999998</v>
      </c>
      <c r="R18" s="94">
        <f t="shared" si="5"/>
        <v>22035.870000000003</v>
      </c>
    </row>
    <row r="19" spans="1:18" s="85" customFormat="1" x14ac:dyDescent="0.2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s="85" customFormat="1" x14ac:dyDescent="0.2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x14ac:dyDescent="0.2">
      <c r="A21" s="95" t="s">
        <v>29</v>
      </c>
      <c r="B21" s="96"/>
      <c r="C21" s="97" t="s">
        <v>10</v>
      </c>
      <c r="D21" s="97" t="s">
        <v>11</v>
      </c>
      <c r="E21" s="97" t="s">
        <v>12</v>
      </c>
      <c r="F21" s="98" t="s">
        <v>3</v>
      </c>
      <c r="G21" s="97" t="s">
        <v>13</v>
      </c>
      <c r="H21" s="97" t="s">
        <v>14</v>
      </c>
      <c r="I21" s="97" t="s">
        <v>15</v>
      </c>
      <c r="J21" s="99" t="s">
        <v>4</v>
      </c>
      <c r="K21" s="97" t="s">
        <v>54</v>
      </c>
      <c r="L21" s="97" t="s">
        <v>55</v>
      </c>
      <c r="M21" s="97" t="s">
        <v>56</v>
      </c>
      <c r="N21" s="99" t="s">
        <v>5</v>
      </c>
      <c r="O21" s="97" t="s">
        <v>57</v>
      </c>
      <c r="P21" s="97" t="s">
        <v>58</v>
      </c>
      <c r="Q21" s="97" t="s">
        <v>59</v>
      </c>
      <c r="R21" s="99" t="s">
        <v>6</v>
      </c>
    </row>
    <row r="22" spans="1:18" x14ac:dyDescent="0.2">
      <c r="A22" s="100" t="s">
        <v>30</v>
      </c>
      <c r="E22" s="78">
        <v>1605</v>
      </c>
      <c r="F22" s="101">
        <f>SUM(C22:E22)</f>
        <v>1605</v>
      </c>
      <c r="H22" s="78">
        <v>105</v>
      </c>
      <c r="J22" s="101">
        <f t="shared" ref="J22:J25" si="6">SUM(G22:I22)</f>
        <v>105</v>
      </c>
      <c r="N22" s="101">
        <f t="shared" ref="N22:N31" si="7">SUM(K22:M22)</f>
        <v>0</v>
      </c>
      <c r="R22" s="101">
        <f t="shared" ref="R22:R31" si="8">SUM(O22:Q22)</f>
        <v>0</v>
      </c>
    </row>
    <row r="23" spans="1:18" x14ac:dyDescent="0.2">
      <c r="A23" s="100" t="s">
        <v>34</v>
      </c>
      <c r="D23" s="78">
        <v>1500</v>
      </c>
      <c r="E23" s="78">
        <v>1750</v>
      </c>
      <c r="F23" s="101">
        <f t="shared" ref="F23:F31" si="9">SUM(C23:E23)</f>
        <v>3250</v>
      </c>
      <c r="G23" s="78">
        <v>120</v>
      </c>
      <c r="I23" s="78">
        <v>1500</v>
      </c>
      <c r="J23" s="101">
        <f t="shared" si="6"/>
        <v>1620</v>
      </c>
      <c r="K23" s="78">
        <v>5829.17</v>
      </c>
      <c r="L23" s="78">
        <v>2445.3000000000002</v>
      </c>
      <c r="M23" s="78">
        <f>256.99</f>
        <v>256.99</v>
      </c>
      <c r="N23" s="101">
        <f t="shared" si="7"/>
        <v>8531.4600000000009</v>
      </c>
      <c r="O23" s="78">
        <v>74.56</v>
      </c>
      <c r="P23" s="78">
        <v>840.24</v>
      </c>
      <c r="Q23" s="78">
        <f>3272.12</f>
        <v>3272.12</v>
      </c>
      <c r="R23" s="101">
        <f t="shared" si="8"/>
        <v>4186.92</v>
      </c>
    </row>
    <row r="24" spans="1:18" x14ac:dyDescent="0.2">
      <c r="A24" s="100" t="s">
        <v>35</v>
      </c>
      <c r="C24" s="78">
        <v>24.44</v>
      </c>
      <c r="F24" s="101">
        <f t="shared" si="9"/>
        <v>24.44</v>
      </c>
      <c r="J24" s="101">
        <f t="shared" si="6"/>
        <v>0</v>
      </c>
      <c r="N24" s="101">
        <f t="shared" si="7"/>
        <v>0</v>
      </c>
      <c r="R24" s="101">
        <f t="shared" si="8"/>
        <v>0</v>
      </c>
    </row>
    <row r="25" spans="1:18" x14ac:dyDescent="0.2">
      <c r="A25" s="100" t="s">
        <v>36</v>
      </c>
      <c r="F25" s="101">
        <f t="shared" si="9"/>
        <v>0</v>
      </c>
      <c r="J25" s="101">
        <f t="shared" si="6"/>
        <v>0</v>
      </c>
      <c r="N25" s="101">
        <f t="shared" si="7"/>
        <v>0</v>
      </c>
      <c r="R25" s="101">
        <f t="shared" si="8"/>
        <v>0</v>
      </c>
    </row>
    <row r="26" spans="1:18" x14ac:dyDescent="0.2">
      <c r="A26" s="100" t="s">
        <v>37</v>
      </c>
      <c r="C26" s="78">
        <v>2092.5</v>
      </c>
      <c r="E26" s="78">
        <v>2501.7800000000002</v>
      </c>
      <c r="F26" s="101">
        <f t="shared" si="9"/>
        <v>4594.2800000000007</v>
      </c>
      <c r="G26" s="78">
        <v>4915.24</v>
      </c>
      <c r="H26" s="78">
        <v>1061.3</v>
      </c>
      <c r="I26" s="78">
        <v>283.86</v>
      </c>
      <c r="J26" s="101">
        <f>SUM(G26:I26)</f>
        <v>6260.4</v>
      </c>
      <c r="K26" s="78">
        <v>531.72</v>
      </c>
      <c r="L26" s="78">
        <v>583.23</v>
      </c>
      <c r="M26" s="78">
        <v>776.55</v>
      </c>
      <c r="N26" s="101">
        <f t="shared" si="7"/>
        <v>1891.5</v>
      </c>
      <c r="O26" s="78">
        <v>1159.02</v>
      </c>
      <c r="Q26" s="78">
        <v>268.41000000000003</v>
      </c>
      <c r="R26" s="101">
        <f t="shared" si="8"/>
        <v>1427.43</v>
      </c>
    </row>
    <row r="27" spans="1:18" x14ac:dyDescent="0.2">
      <c r="A27" s="100" t="s">
        <v>26</v>
      </c>
      <c r="E27" s="78">
        <v>1700</v>
      </c>
      <c r="F27" s="101">
        <f t="shared" si="9"/>
        <v>1700</v>
      </c>
      <c r="G27" s="78">
        <v>5920.75</v>
      </c>
      <c r="J27" s="101">
        <f t="shared" ref="J27:J31" si="10">SUM(G27:I27)</f>
        <v>5920.75</v>
      </c>
      <c r="N27" s="101">
        <f t="shared" si="7"/>
        <v>0</v>
      </c>
      <c r="R27" s="101">
        <f t="shared" si="8"/>
        <v>0</v>
      </c>
    </row>
    <row r="28" spans="1:18" x14ac:dyDescent="0.2">
      <c r="A28" s="100" t="s">
        <v>27</v>
      </c>
      <c r="F28" s="101">
        <f t="shared" si="9"/>
        <v>0</v>
      </c>
      <c r="J28" s="101">
        <f t="shared" si="10"/>
        <v>0</v>
      </c>
      <c r="L28" s="78">
        <v>400</v>
      </c>
      <c r="N28" s="101">
        <f t="shared" si="7"/>
        <v>400</v>
      </c>
      <c r="O28" s="78">
        <v>420</v>
      </c>
      <c r="R28" s="101">
        <f t="shared" si="8"/>
        <v>420</v>
      </c>
    </row>
    <row r="29" spans="1:18" x14ac:dyDescent="0.2">
      <c r="A29" s="100" t="s">
        <v>39</v>
      </c>
      <c r="F29" s="101">
        <f t="shared" si="9"/>
        <v>0</v>
      </c>
      <c r="H29" s="78">
        <v>875</v>
      </c>
      <c r="I29" s="78">
        <v>375</v>
      </c>
      <c r="J29" s="101">
        <f t="shared" si="10"/>
        <v>1250</v>
      </c>
      <c r="K29" s="78">
        <v>350</v>
      </c>
      <c r="L29" s="78">
        <v>440</v>
      </c>
      <c r="N29" s="101">
        <f t="shared" si="7"/>
        <v>790</v>
      </c>
      <c r="R29" s="101">
        <f t="shared" si="8"/>
        <v>0</v>
      </c>
    </row>
    <row r="30" spans="1:18" x14ac:dyDescent="0.2">
      <c r="A30" s="100" t="s">
        <v>40</v>
      </c>
      <c r="D30" s="78">
        <v>400</v>
      </c>
      <c r="F30" s="101">
        <f t="shared" si="9"/>
        <v>400</v>
      </c>
      <c r="J30" s="101">
        <f t="shared" si="10"/>
        <v>0</v>
      </c>
      <c r="L30" s="78">
        <v>1000</v>
      </c>
      <c r="N30" s="101">
        <f t="shared" si="7"/>
        <v>1000</v>
      </c>
      <c r="Q30" s="78">
        <v>9639.19</v>
      </c>
      <c r="R30" s="101">
        <f t="shared" si="8"/>
        <v>9639.19</v>
      </c>
    </row>
    <row r="31" spans="1:18" x14ac:dyDescent="0.2">
      <c r="A31" s="100" t="s">
        <v>41</v>
      </c>
      <c r="F31" s="101">
        <f t="shared" si="9"/>
        <v>0</v>
      </c>
      <c r="J31" s="101">
        <f t="shared" si="10"/>
        <v>0</v>
      </c>
      <c r="N31" s="101">
        <f t="shared" si="7"/>
        <v>0</v>
      </c>
      <c r="R31" s="101">
        <f t="shared" si="8"/>
        <v>0</v>
      </c>
    </row>
    <row r="32" spans="1:18" x14ac:dyDescent="0.2">
      <c r="A32" s="102" t="s">
        <v>8</v>
      </c>
      <c r="C32" s="79">
        <f t="shared" ref="C32:R32" si="11">SUM(C22:C31)</f>
        <v>2116.94</v>
      </c>
      <c r="D32" s="79">
        <f t="shared" si="11"/>
        <v>1900</v>
      </c>
      <c r="E32" s="79">
        <f t="shared" si="11"/>
        <v>7556.7800000000007</v>
      </c>
      <c r="F32" s="103">
        <f t="shared" si="11"/>
        <v>11573.720000000001</v>
      </c>
      <c r="G32" s="79">
        <f t="shared" si="11"/>
        <v>10955.99</v>
      </c>
      <c r="H32" s="79">
        <f t="shared" si="11"/>
        <v>2041.3</v>
      </c>
      <c r="I32" s="79">
        <f t="shared" si="11"/>
        <v>2158.86</v>
      </c>
      <c r="J32" s="103">
        <f t="shared" si="11"/>
        <v>15156.15</v>
      </c>
      <c r="K32" s="79">
        <f t="shared" si="11"/>
        <v>6710.89</v>
      </c>
      <c r="L32" s="79">
        <f t="shared" si="11"/>
        <v>4868.5300000000007</v>
      </c>
      <c r="M32" s="79">
        <f t="shared" si="11"/>
        <v>1033.54</v>
      </c>
      <c r="N32" s="103">
        <f t="shared" si="11"/>
        <v>12612.960000000001</v>
      </c>
      <c r="O32" s="79">
        <f t="shared" si="11"/>
        <v>1653.58</v>
      </c>
      <c r="P32" s="79">
        <f t="shared" si="11"/>
        <v>840.24</v>
      </c>
      <c r="Q32" s="79">
        <f t="shared" si="11"/>
        <v>13179.720000000001</v>
      </c>
      <c r="R32" s="103">
        <f t="shared" si="11"/>
        <v>15673.54</v>
      </c>
    </row>
    <row r="33" spans="1:18" x14ac:dyDescent="0.2">
      <c r="A33" s="104" t="s">
        <v>31</v>
      </c>
      <c r="B33" s="96"/>
      <c r="C33" s="105"/>
      <c r="D33" s="105"/>
      <c r="E33" s="105"/>
      <c r="F33" s="106"/>
      <c r="G33" s="105"/>
      <c r="H33" s="105"/>
      <c r="I33" s="105"/>
      <c r="J33" s="107"/>
      <c r="K33" s="105"/>
      <c r="L33" s="105"/>
      <c r="M33" s="105"/>
      <c r="N33" s="107"/>
      <c r="O33" s="105"/>
      <c r="P33" s="105"/>
      <c r="Q33" s="105"/>
      <c r="R33" s="107">
        <f t="shared" ref="R33:R40" si="12">SUM(O33:Q33)</f>
        <v>0</v>
      </c>
    </row>
    <row r="34" spans="1:18" x14ac:dyDescent="0.2">
      <c r="A34" s="100" t="s">
        <v>18</v>
      </c>
      <c r="C34" s="78">
        <v>18</v>
      </c>
      <c r="D34" s="78">
        <f>316.09+18</f>
        <v>334.09</v>
      </c>
      <c r="E34" s="78">
        <f>104.21+18</f>
        <v>122.21</v>
      </c>
      <c r="F34" s="101">
        <f t="shared" ref="F34:F40" si="13">SUM(C34:E34)</f>
        <v>474.29999999999995</v>
      </c>
      <c r="G34" s="78">
        <f>669.12+18</f>
        <v>687.12</v>
      </c>
      <c r="H34" s="78">
        <f>56.51+18</f>
        <v>74.509999999999991</v>
      </c>
      <c r="I34" s="78">
        <f>56.51+18</f>
        <v>74.509999999999991</v>
      </c>
      <c r="J34" s="101">
        <f t="shared" ref="J34:J40" si="14">SUM(G34:I34)</f>
        <v>836.14</v>
      </c>
      <c r="K34" s="78">
        <f>56.51+18</f>
        <v>74.509999999999991</v>
      </c>
      <c r="L34" s="78">
        <f>56.51+257.88</f>
        <v>314.39</v>
      </c>
      <c r="M34" s="78">
        <f>56.51+18</f>
        <v>74.509999999999991</v>
      </c>
      <c r="N34" s="101">
        <f t="shared" ref="N34:N40" si="15">SUM(K34:M34)</f>
        <v>463.40999999999997</v>
      </c>
      <c r="O34" s="78">
        <v>56.51</v>
      </c>
      <c r="P34" s="78">
        <f>56.51</f>
        <v>56.51</v>
      </c>
      <c r="Q34" s="78">
        <v>56.51</v>
      </c>
      <c r="R34" s="101">
        <f t="shared" si="12"/>
        <v>169.53</v>
      </c>
    </row>
    <row r="35" spans="1:18" x14ac:dyDescent="0.2">
      <c r="A35" s="100" t="s">
        <v>7</v>
      </c>
      <c r="E35" s="78">
        <v>357</v>
      </c>
      <c r="F35" s="101">
        <f t="shared" si="13"/>
        <v>357</v>
      </c>
      <c r="I35" s="78">
        <v>854.31</v>
      </c>
      <c r="J35" s="101">
        <f t="shared" si="14"/>
        <v>854.31</v>
      </c>
      <c r="N35" s="101">
        <f t="shared" si="15"/>
        <v>0</v>
      </c>
      <c r="R35" s="101">
        <f t="shared" si="12"/>
        <v>0</v>
      </c>
    </row>
    <row r="36" spans="1:18" x14ac:dyDescent="0.2">
      <c r="A36" s="100" t="s">
        <v>32</v>
      </c>
      <c r="C36" s="78">
        <f>32.59+26.91</f>
        <v>59.5</v>
      </c>
      <c r="D36" s="78">
        <v>203.81</v>
      </c>
      <c r="E36" s="78">
        <v>357.6</v>
      </c>
      <c r="F36" s="101">
        <f t="shared" si="13"/>
        <v>620.91000000000008</v>
      </c>
      <c r="G36" s="78">
        <f>156.47+74.95</f>
        <v>231.42000000000002</v>
      </c>
      <c r="I36" s="78">
        <v>159.01</v>
      </c>
      <c r="J36" s="101">
        <f t="shared" si="14"/>
        <v>390.43</v>
      </c>
      <c r="K36" s="78">
        <v>164.1</v>
      </c>
      <c r="L36" s="78">
        <v>120.05</v>
      </c>
      <c r="M36" s="78">
        <v>9.6999999999999993</v>
      </c>
      <c r="N36" s="101">
        <f t="shared" si="15"/>
        <v>293.84999999999997</v>
      </c>
      <c r="O36" s="78">
        <v>18</v>
      </c>
      <c r="P36" s="78">
        <f>69.74+78+18</f>
        <v>165.74</v>
      </c>
      <c r="Q36" s="78">
        <f>121.57+18</f>
        <v>139.57</v>
      </c>
      <c r="R36" s="101">
        <f t="shared" si="12"/>
        <v>323.31</v>
      </c>
    </row>
    <row r="37" spans="1:18" x14ac:dyDescent="0.2">
      <c r="A37" s="100" t="s">
        <v>33</v>
      </c>
      <c r="C37" s="78">
        <f>20.85</f>
        <v>20.85</v>
      </c>
      <c r="D37" s="78">
        <f>-20+27.26</f>
        <v>7.2600000000000016</v>
      </c>
      <c r="F37" s="101">
        <f t="shared" si="13"/>
        <v>28.110000000000003</v>
      </c>
      <c r="G37" s="78">
        <f>5.48</f>
        <v>5.48</v>
      </c>
      <c r="H37" s="78">
        <v>247.64</v>
      </c>
      <c r="J37" s="101">
        <f t="shared" si="14"/>
        <v>253.11999999999998</v>
      </c>
      <c r="K37" s="78">
        <f>5.75+493.95</f>
        <v>499.7</v>
      </c>
      <c r="N37" s="101">
        <f t="shared" si="15"/>
        <v>499.7</v>
      </c>
      <c r="P37" s="78">
        <v>363.76</v>
      </c>
      <c r="Q37" s="78">
        <v>98.27</v>
      </c>
      <c r="R37" s="101">
        <f t="shared" si="12"/>
        <v>462.03</v>
      </c>
    </row>
    <row r="38" spans="1:18" x14ac:dyDescent="0.2">
      <c r="A38" s="100" t="s">
        <v>38</v>
      </c>
      <c r="F38" s="101">
        <f t="shared" si="13"/>
        <v>0</v>
      </c>
      <c r="J38" s="101">
        <f t="shared" si="14"/>
        <v>0</v>
      </c>
      <c r="N38" s="101">
        <f t="shared" si="15"/>
        <v>0</v>
      </c>
      <c r="R38" s="101">
        <f t="shared" si="12"/>
        <v>0</v>
      </c>
    </row>
    <row r="39" spans="1:18" x14ac:dyDescent="0.2">
      <c r="A39" s="100" t="s">
        <v>46</v>
      </c>
      <c r="F39" s="101">
        <f t="shared" si="13"/>
        <v>0</v>
      </c>
      <c r="J39" s="101">
        <f t="shared" si="14"/>
        <v>0</v>
      </c>
      <c r="N39" s="101">
        <f t="shared" si="15"/>
        <v>0</v>
      </c>
      <c r="R39" s="101">
        <f t="shared" si="12"/>
        <v>0</v>
      </c>
    </row>
    <row r="40" spans="1:18" x14ac:dyDescent="0.2">
      <c r="A40" s="100" t="s">
        <v>47</v>
      </c>
      <c r="E40" s="78">
        <f>10+43.18</f>
        <v>53.18</v>
      </c>
      <c r="F40" s="101">
        <f t="shared" si="13"/>
        <v>53.18</v>
      </c>
      <c r="I40" s="78">
        <v>354.15</v>
      </c>
      <c r="J40" s="101">
        <f t="shared" si="14"/>
        <v>354.15</v>
      </c>
      <c r="K40" s="78">
        <v>13</v>
      </c>
      <c r="N40" s="101">
        <f t="shared" si="15"/>
        <v>13</v>
      </c>
      <c r="R40" s="101">
        <f t="shared" si="12"/>
        <v>0</v>
      </c>
    </row>
    <row r="41" spans="1:18" x14ac:dyDescent="0.2">
      <c r="A41" s="102" t="s">
        <v>8</v>
      </c>
      <c r="C41" s="79">
        <f t="shared" ref="C41:R41" si="16">SUM(C34:C40)</f>
        <v>98.35</v>
      </c>
      <c r="D41" s="79">
        <f t="shared" si="16"/>
        <v>545.16</v>
      </c>
      <c r="E41" s="79">
        <f t="shared" si="16"/>
        <v>889.9899999999999</v>
      </c>
      <c r="F41" s="108">
        <f t="shared" si="16"/>
        <v>1533.5</v>
      </c>
      <c r="G41" s="79">
        <f t="shared" si="16"/>
        <v>924.02</v>
      </c>
      <c r="H41" s="79">
        <f t="shared" si="16"/>
        <v>322.14999999999998</v>
      </c>
      <c r="I41" s="79">
        <f t="shared" si="16"/>
        <v>1441.98</v>
      </c>
      <c r="J41" s="108">
        <f t="shared" si="16"/>
        <v>2688.1499999999996</v>
      </c>
      <c r="K41" s="79">
        <f t="shared" si="16"/>
        <v>751.31</v>
      </c>
      <c r="L41" s="79">
        <f t="shared" si="16"/>
        <v>434.44</v>
      </c>
      <c r="M41" s="79">
        <f t="shared" si="16"/>
        <v>84.21</v>
      </c>
      <c r="N41" s="108">
        <f t="shared" si="16"/>
        <v>1269.96</v>
      </c>
      <c r="O41" s="79">
        <f t="shared" si="16"/>
        <v>74.509999999999991</v>
      </c>
      <c r="P41" s="79">
        <f t="shared" si="16"/>
        <v>586.01</v>
      </c>
      <c r="Q41" s="79">
        <f t="shared" si="16"/>
        <v>294.34999999999997</v>
      </c>
      <c r="R41" s="108">
        <f t="shared" si="16"/>
        <v>954.87</v>
      </c>
    </row>
    <row r="42" spans="1:18" x14ac:dyDescent="0.2">
      <c r="A42" s="81" t="s">
        <v>42</v>
      </c>
      <c r="B42" s="96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8" x14ac:dyDescent="0.2">
      <c r="A43" s="100" t="s">
        <v>43</v>
      </c>
      <c r="F43" s="101">
        <f t="shared" ref="F43:F46" si="17">SUM(C43:E43)</f>
        <v>0</v>
      </c>
      <c r="J43" s="101">
        <f t="shared" ref="J43:J46" si="18">SUM(G43:I43)</f>
        <v>0</v>
      </c>
      <c r="N43" s="101">
        <f t="shared" ref="N43:N46" si="19">SUM(K43:M43)</f>
        <v>0</v>
      </c>
      <c r="Q43" s="78">
        <v>15400</v>
      </c>
      <c r="R43" s="101">
        <f t="shared" ref="R43:R46" si="20">SUM(O43:Q43)</f>
        <v>15400</v>
      </c>
    </row>
    <row r="44" spans="1:18" x14ac:dyDescent="0.2">
      <c r="A44" s="100" t="s">
        <v>44</v>
      </c>
      <c r="F44" s="101">
        <f t="shared" si="17"/>
        <v>0</v>
      </c>
      <c r="J44" s="101">
        <f t="shared" si="18"/>
        <v>0</v>
      </c>
      <c r="N44" s="101">
        <f t="shared" si="19"/>
        <v>0</v>
      </c>
      <c r="R44" s="101">
        <f t="shared" si="20"/>
        <v>0</v>
      </c>
    </row>
    <row r="45" spans="1:18" x14ac:dyDescent="0.2">
      <c r="A45" s="100" t="s">
        <v>45</v>
      </c>
      <c r="C45" s="78">
        <f>755+1000</f>
        <v>1755</v>
      </c>
      <c r="F45" s="101">
        <f t="shared" si="17"/>
        <v>1755</v>
      </c>
      <c r="G45" s="78">
        <v>304</v>
      </c>
      <c r="J45" s="101">
        <f t="shared" si="18"/>
        <v>304</v>
      </c>
      <c r="L45" s="78">
        <v>1900</v>
      </c>
      <c r="N45" s="101">
        <f t="shared" si="19"/>
        <v>1900</v>
      </c>
      <c r="R45" s="101">
        <f t="shared" si="20"/>
        <v>0</v>
      </c>
    </row>
    <row r="46" spans="1:18" x14ac:dyDescent="0.2">
      <c r="A46" s="100" t="s">
        <v>48</v>
      </c>
      <c r="F46" s="101">
        <f t="shared" si="17"/>
        <v>0</v>
      </c>
      <c r="H46" s="78">
        <f>32+536.54</f>
        <v>568.54</v>
      </c>
      <c r="I46" s="78">
        <f>47</f>
        <v>47</v>
      </c>
      <c r="J46" s="101">
        <f t="shared" si="18"/>
        <v>615.54</v>
      </c>
      <c r="L46" s="78">
        <f>36.74+260</f>
        <v>296.74</v>
      </c>
      <c r="M46" s="78">
        <f>740+49.58</f>
        <v>789.58</v>
      </c>
      <c r="N46" s="101">
        <f t="shared" si="19"/>
        <v>1086.3200000000002</v>
      </c>
      <c r="O46" s="78">
        <f>1265+407.07</f>
        <v>1672.07</v>
      </c>
      <c r="P46" s="78">
        <v>1888.83</v>
      </c>
      <c r="Q46" s="78">
        <f>500+500+200+668.01</f>
        <v>1868.01</v>
      </c>
      <c r="R46" s="101">
        <f t="shared" si="20"/>
        <v>5428.91</v>
      </c>
    </row>
    <row r="47" spans="1:18" x14ac:dyDescent="0.2">
      <c r="A47" s="102" t="s">
        <v>8</v>
      </c>
      <c r="C47" s="79">
        <f t="shared" ref="C47:R47" si="21">SUM(C43:C46)</f>
        <v>1755</v>
      </c>
      <c r="D47" s="79">
        <f t="shared" si="21"/>
        <v>0</v>
      </c>
      <c r="E47" s="79">
        <f t="shared" si="21"/>
        <v>0</v>
      </c>
      <c r="F47" s="103">
        <f t="shared" si="21"/>
        <v>1755</v>
      </c>
      <c r="G47" s="79">
        <f t="shared" si="21"/>
        <v>304</v>
      </c>
      <c r="H47" s="79">
        <f t="shared" si="21"/>
        <v>568.54</v>
      </c>
      <c r="I47" s="79">
        <f t="shared" si="21"/>
        <v>47</v>
      </c>
      <c r="J47" s="103">
        <f t="shared" si="21"/>
        <v>919.54</v>
      </c>
      <c r="K47" s="79">
        <f t="shared" si="21"/>
        <v>0</v>
      </c>
      <c r="L47" s="79">
        <f t="shared" si="21"/>
        <v>2196.7399999999998</v>
      </c>
      <c r="M47" s="79">
        <f t="shared" si="21"/>
        <v>789.58</v>
      </c>
      <c r="N47" s="103">
        <f t="shared" si="21"/>
        <v>2986.32</v>
      </c>
      <c r="O47" s="79">
        <f t="shared" si="21"/>
        <v>1672.07</v>
      </c>
      <c r="P47" s="79">
        <f t="shared" si="21"/>
        <v>1888.83</v>
      </c>
      <c r="Q47" s="79">
        <f t="shared" si="21"/>
        <v>17268.009999999998</v>
      </c>
      <c r="R47" s="103">
        <f t="shared" si="21"/>
        <v>20828.91</v>
      </c>
    </row>
    <row r="48" spans="1:18" x14ac:dyDescent="0.2">
      <c r="A48" s="81"/>
      <c r="B48" s="96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x14ac:dyDescent="0.2">
      <c r="A49" s="102" t="s">
        <v>62</v>
      </c>
      <c r="C49" s="78">
        <f>C32+C41+C47</f>
        <v>3970.29</v>
      </c>
      <c r="D49" s="78">
        <f t="shared" ref="D49:E49" si="22">D32+D41+CY47</f>
        <v>2445.16</v>
      </c>
      <c r="E49" s="78">
        <f t="shared" si="22"/>
        <v>8446.77</v>
      </c>
      <c r="F49" s="109">
        <f t="shared" ref="F49:R49" si="23">F32+F41+F47</f>
        <v>14862.220000000001</v>
      </c>
      <c r="G49" s="78">
        <f t="shared" si="23"/>
        <v>12184.01</v>
      </c>
      <c r="H49" s="78">
        <f t="shared" si="23"/>
        <v>2931.99</v>
      </c>
      <c r="I49" s="78">
        <f t="shared" si="23"/>
        <v>3647.84</v>
      </c>
      <c r="J49" s="109">
        <f t="shared" si="23"/>
        <v>18763.84</v>
      </c>
      <c r="K49" s="78">
        <f t="shared" si="23"/>
        <v>7462.2000000000007</v>
      </c>
      <c r="L49" s="78">
        <f t="shared" si="23"/>
        <v>7499.71</v>
      </c>
      <c r="M49" s="78">
        <f t="shared" si="23"/>
        <v>1907.33</v>
      </c>
      <c r="N49" s="109">
        <f t="shared" si="23"/>
        <v>16869.240000000002</v>
      </c>
      <c r="O49" s="78">
        <f t="shared" si="23"/>
        <v>3400.16</v>
      </c>
      <c r="P49" s="78">
        <f t="shared" si="23"/>
        <v>3315.08</v>
      </c>
      <c r="Q49" s="78">
        <f t="shared" si="23"/>
        <v>30742.080000000002</v>
      </c>
      <c r="R49" s="109">
        <f t="shared" si="23"/>
        <v>37457.32</v>
      </c>
    </row>
    <row r="50" spans="1:18" x14ac:dyDescent="0.2">
      <c r="A50" s="110"/>
      <c r="F50" s="109"/>
      <c r="J50" s="109"/>
      <c r="N50" s="109"/>
      <c r="R50" s="109"/>
    </row>
    <row r="51" spans="1:18" x14ac:dyDescent="0.2">
      <c r="A51" s="102" t="s">
        <v>17</v>
      </c>
      <c r="C51" s="111">
        <f t="shared" ref="C51:R51" si="24">C18-C49</f>
        <v>1815.0900000000001</v>
      </c>
      <c r="D51" s="111">
        <f t="shared" si="24"/>
        <v>4019.34</v>
      </c>
      <c r="E51" s="111">
        <f t="shared" si="24"/>
        <v>-5050.91</v>
      </c>
      <c r="F51" s="112">
        <f t="shared" si="24"/>
        <v>783.51999999999862</v>
      </c>
      <c r="G51" s="111">
        <f t="shared" si="24"/>
        <v>3203.8799999999992</v>
      </c>
      <c r="H51" s="111">
        <f t="shared" si="24"/>
        <v>3872.63</v>
      </c>
      <c r="I51" s="111">
        <f t="shared" si="24"/>
        <v>-3313.04</v>
      </c>
      <c r="J51" s="112">
        <f t="shared" si="24"/>
        <v>3763.4699999999975</v>
      </c>
      <c r="K51" s="111">
        <f t="shared" si="24"/>
        <v>9524.75</v>
      </c>
      <c r="L51" s="111">
        <f t="shared" si="24"/>
        <v>-7174.27</v>
      </c>
      <c r="M51" s="111">
        <f t="shared" si="24"/>
        <v>1070.81</v>
      </c>
      <c r="N51" s="112">
        <f t="shared" si="24"/>
        <v>3421.2899999999972</v>
      </c>
      <c r="O51" s="111">
        <f t="shared" si="24"/>
        <v>-3165.75</v>
      </c>
      <c r="P51" s="111">
        <f t="shared" si="24"/>
        <v>7383.869999999999</v>
      </c>
      <c r="Q51" s="111">
        <f t="shared" si="24"/>
        <v>-19639.570000000003</v>
      </c>
      <c r="R51" s="112">
        <f t="shared" si="24"/>
        <v>-15421.449999999997</v>
      </c>
    </row>
    <row r="52" spans="1:18" x14ac:dyDescent="0.2">
      <c r="F52" s="113"/>
      <c r="J52" s="113"/>
      <c r="N52" s="113"/>
      <c r="R52" s="113"/>
    </row>
    <row r="55" spans="1:18" x14ac:dyDescent="0.2">
      <c r="O55" s="114"/>
    </row>
    <row r="56" spans="1:18" x14ac:dyDescent="0.2">
      <c r="O56" s="114"/>
    </row>
    <row r="57" spans="1:18" x14ac:dyDescent="0.2">
      <c r="O57" s="114"/>
    </row>
    <row r="58" spans="1:18" x14ac:dyDescent="0.2">
      <c r="O58" s="114"/>
    </row>
    <row r="59" spans="1:18" x14ac:dyDescent="0.2">
      <c r="B59" s="115"/>
      <c r="C59" s="79"/>
      <c r="D59" s="79"/>
      <c r="E59" s="79"/>
      <c r="R59" s="116"/>
    </row>
    <row r="60" spans="1:18" x14ac:dyDescent="0.2">
      <c r="B60" s="78"/>
      <c r="R60" s="116"/>
    </row>
    <row r="61" spans="1:18" x14ac:dyDescent="0.2">
      <c r="A61" s="100"/>
      <c r="B61" s="78"/>
      <c r="J61" s="117"/>
      <c r="R61" s="116"/>
    </row>
    <row r="62" spans="1:18" x14ac:dyDescent="0.2">
      <c r="A62" s="100"/>
      <c r="B62" s="78"/>
      <c r="R62" s="116"/>
    </row>
    <row r="63" spans="1:18" x14ac:dyDescent="0.2">
      <c r="A63" s="100"/>
      <c r="B63" s="78"/>
      <c r="R63" s="116"/>
    </row>
    <row r="64" spans="1:18" x14ac:dyDescent="0.2">
      <c r="B64" s="78"/>
    </row>
    <row r="65" spans="2:5" x14ac:dyDescent="0.2">
      <c r="B65" s="114"/>
      <c r="C65" s="118"/>
      <c r="D65" s="118"/>
      <c r="E65" s="118"/>
    </row>
  </sheetData>
  <mergeCells count="3">
    <mergeCell ref="A2:B2"/>
    <mergeCell ref="A3:B3"/>
    <mergeCell ref="A4:R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09C3-A98A-4A9C-96AB-93E610E0D984}">
  <sheetPr>
    <pageSetUpPr fitToPage="1"/>
  </sheetPr>
  <dimension ref="A1:I64"/>
  <sheetViews>
    <sheetView workbookViewId="0"/>
  </sheetViews>
  <sheetFormatPr baseColWidth="10" defaultColWidth="8.83203125" defaultRowHeight="15" x14ac:dyDescent="0.2"/>
  <cols>
    <col min="1" max="1" width="30.5" customWidth="1"/>
    <col min="2" max="2" width="3.6640625" customWidth="1"/>
    <col min="3" max="3" width="13.5" style="1" customWidth="1"/>
    <col min="4" max="4" width="3.6640625" customWidth="1"/>
    <col min="5" max="5" width="15.6640625" style="1" bestFit="1" customWidth="1"/>
    <col min="9" max="9" width="13.6640625" bestFit="1" customWidth="1"/>
  </cols>
  <sheetData>
    <row r="1" spans="1:9" x14ac:dyDescent="0.2">
      <c r="A1" s="38" t="s">
        <v>51</v>
      </c>
      <c r="B1" s="71"/>
      <c r="C1" s="39"/>
    </row>
    <row r="2" spans="1:9" x14ac:dyDescent="0.2">
      <c r="A2" s="119" t="s">
        <v>63</v>
      </c>
      <c r="B2" s="119"/>
      <c r="C2" s="2"/>
    </row>
    <row r="3" spans="1:9" x14ac:dyDescent="0.2">
      <c r="A3" s="119"/>
      <c r="B3" s="119"/>
    </row>
    <row r="4" spans="1:9" ht="18" x14ac:dyDescent="0.35">
      <c r="A4" s="120" t="s">
        <v>19</v>
      </c>
      <c r="B4" s="120"/>
      <c r="C4" s="120"/>
      <c r="E4" s="69" t="s">
        <v>1</v>
      </c>
      <c r="I4" s="73"/>
    </row>
    <row r="5" spans="1:9" x14ac:dyDescent="0.2">
      <c r="A5" s="8"/>
      <c r="B5" s="8"/>
      <c r="C5" s="9" t="s">
        <v>60</v>
      </c>
      <c r="E5" s="11"/>
    </row>
    <row r="6" spans="1:9" s="13" customFormat="1" x14ac:dyDescent="0.2">
      <c r="A6" s="13" t="s">
        <v>23</v>
      </c>
      <c r="C6" s="14">
        <f>'23-24 Acutals'!F6+'23-24 Acutals'!J6+'23-24 Acutals'!N6+'23-24 Acutals'!R6</f>
        <v>0</v>
      </c>
      <c r="E6" s="11">
        <f>'23-24 Budget'!U6</f>
        <v>6000</v>
      </c>
      <c r="I6" s="14"/>
    </row>
    <row r="7" spans="1:9" s="13" customFormat="1" x14ac:dyDescent="0.2">
      <c r="A7" s="13" t="s">
        <v>22</v>
      </c>
      <c r="C7" s="14">
        <f>'23-24 Acutals'!F7+'23-24 Acutals'!J7+'23-24 Acutals'!N7+'23-24 Acutals'!R7</f>
        <v>0</v>
      </c>
      <c r="E7" s="11">
        <f>'23-24 Budget'!U7</f>
        <v>2900</v>
      </c>
    </row>
    <row r="8" spans="1:9" s="13" customFormat="1" x14ac:dyDescent="0.2">
      <c r="A8" s="13" t="s">
        <v>20</v>
      </c>
      <c r="C8" s="14">
        <f>'23-24 Acutals'!F8+'23-24 Acutals'!J8+'23-24 Acutals'!N8+'23-24 Acutals'!R8</f>
        <v>0</v>
      </c>
      <c r="E8" s="11">
        <f>'23-24 Budget'!U8</f>
        <v>150</v>
      </c>
      <c r="I8" s="14"/>
    </row>
    <row r="9" spans="1:9" s="13" customFormat="1" x14ac:dyDescent="0.2">
      <c r="A9" s="13" t="s">
        <v>21</v>
      </c>
      <c r="C9" s="14">
        <f>'23-24 Acutals'!F9+'23-24 Acutals'!J9+'23-24 Acutals'!N9+'23-24 Acutals'!R9+-'23-24 Acutals'!F23+-'23-24 Acutals'!J23+-'23-24 Acutals'!N23+-'23-24 Acutals'!R23</f>
        <v>0</v>
      </c>
      <c r="E9" s="11">
        <f>'23-24 Budget'!U9</f>
        <v>27250</v>
      </c>
    </row>
    <row r="10" spans="1:9" s="13" customFormat="1" x14ac:dyDescent="0.2">
      <c r="A10" s="13" t="s">
        <v>24</v>
      </c>
      <c r="C10" s="14">
        <f>'23-24 Acutals'!F10+'23-24 Acutals'!J10+'23-24 Acutals'!N10+'23-24 Acutals'!R10</f>
        <v>3901.33</v>
      </c>
      <c r="E10" s="11">
        <f>'23-24 Budget'!U10</f>
        <v>28750</v>
      </c>
      <c r="I10" s="72"/>
    </row>
    <row r="11" spans="1:9" s="13" customFormat="1" x14ac:dyDescent="0.2">
      <c r="A11" s="13" t="s">
        <v>25</v>
      </c>
      <c r="C11" s="14">
        <f>'23-24 Acutals'!F11+'23-24 Acutals'!J11+'23-24 Acutals'!N11+'23-24 Acutals'!R11</f>
        <v>0</v>
      </c>
      <c r="E11" s="11">
        <f>'23-24 Budget'!U11</f>
        <v>0</v>
      </c>
    </row>
    <row r="12" spans="1:9" s="13" customFormat="1" x14ac:dyDescent="0.2">
      <c r="A12" s="13" t="s">
        <v>26</v>
      </c>
      <c r="C12" s="14">
        <f>'23-24 Acutals'!F12+'23-24 Acutals'!J12+'23-24 Acutals'!N12+'23-24 Acutals'!R12</f>
        <v>0</v>
      </c>
      <c r="E12" s="11">
        <f>'23-24 Budget'!U12</f>
        <v>4000</v>
      </c>
      <c r="I12" s="14"/>
    </row>
    <row r="13" spans="1:9" s="13" customFormat="1" x14ac:dyDescent="0.2">
      <c r="A13" s="13" t="s">
        <v>27</v>
      </c>
      <c r="C13" s="14">
        <f>'23-24 Acutals'!F13+'23-24 Acutals'!J13+'23-24 Acutals'!N13+'23-24 Acutals'!R13</f>
        <v>0</v>
      </c>
      <c r="E13" s="11">
        <f>'23-24 Budget'!U13</f>
        <v>750</v>
      </c>
    </row>
    <row r="14" spans="1:9" s="13" customFormat="1" x14ac:dyDescent="0.2">
      <c r="A14" s="13" t="s">
        <v>28</v>
      </c>
      <c r="C14" s="14">
        <f>'23-24 Acutals'!F14+'23-24 Acutals'!J14+'23-24 Acutals'!N14+'23-24 Acutals'!R14</f>
        <v>0</v>
      </c>
      <c r="E14" s="11">
        <f>'23-24 Budget'!U14</f>
        <v>18000</v>
      </c>
      <c r="I14" s="72"/>
    </row>
    <row r="15" spans="1:9" s="13" customFormat="1" x14ac:dyDescent="0.2">
      <c r="A15" s="13" t="s">
        <v>16</v>
      </c>
      <c r="C15" s="14">
        <f>'23-24 Acutals'!F15+'23-24 Acutals'!J15+'23-24 Acutals'!N15+'23-24 Acutals'!R15</f>
        <v>0</v>
      </c>
      <c r="E15" s="11">
        <f>'23-24 Budget'!U15</f>
        <v>700</v>
      </c>
    </row>
    <row r="16" spans="1:9" s="13" customFormat="1" x14ac:dyDescent="0.2">
      <c r="C16" s="14"/>
      <c r="E16" s="11">
        <f>'23-24 Budget'!U16</f>
        <v>0</v>
      </c>
    </row>
    <row r="17" spans="1:5" s="13" customFormat="1" x14ac:dyDescent="0.2">
      <c r="C17" s="16"/>
      <c r="E17" s="57">
        <f>'23-24 Budget'!U17</f>
        <v>0</v>
      </c>
    </row>
    <row r="18" spans="1:5" s="13" customFormat="1" x14ac:dyDescent="0.2">
      <c r="A18" s="37" t="s">
        <v>9</v>
      </c>
      <c r="C18" s="47">
        <f t="shared" ref="C18" si="0">SUM(C6:C17)</f>
        <v>3901.33</v>
      </c>
      <c r="E18" s="59">
        <f>SUM(E6:E17)</f>
        <v>88500</v>
      </c>
    </row>
    <row r="19" spans="1:5" s="13" customFormat="1" x14ac:dyDescent="0.2">
      <c r="C19" s="14"/>
      <c r="E19" s="17"/>
    </row>
    <row r="20" spans="1:5" s="13" customFormat="1" x14ac:dyDescent="0.2">
      <c r="C20" s="14"/>
      <c r="E20" s="17"/>
    </row>
    <row r="21" spans="1:5" x14ac:dyDescent="0.2">
      <c r="A21" s="27" t="s">
        <v>29</v>
      </c>
      <c r="B21" s="20"/>
      <c r="C21" s="28"/>
      <c r="E21" s="22"/>
    </row>
    <row r="22" spans="1:5" x14ac:dyDescent="0.2">
      <c r="A22" s="18" t="s">
        <v>30</v>
      </c>
      <c r="C22" s="14">
        <f>'23-24 Acutals'!F22+'23-24 Acutals'!J22+'23-24 Acutals'!N22+'23-24 Acutals'!R22</f>
        <v>0</v>
      </c>
      <c r="E22" s="11">
        <f>'23-24 Budget'!U22</f>
        <v>1510</v>
      </c>
    </row>
    <row r="23" spans="1:5" x14ac:dyDescent="0.2">
      <c r="A23" s="18" t="s">
        <v>34</v>
      </c>
      <c r="C23" s="14">
        <v>0</v>
      </c>
      <c r="E23" s="11">
        <f>'23-24 Budget'!U23</f>
        <v>14100</v>
      </c>
    </row>
    <row r="24" spans="1:5" x14ac:dyDescent="0.2">
      <c r="A24" s="18" t="s">
        <v>52</v>
      </c>
      <c r="C24" s="14">
        <f>'23-24 Acutals'!F24+'23-24 Acutals'!J24+'23-24 Acutals'!N24+'23-24 Acutals'!R24</f>
        <v>0</v>
      </c>
      <c r="E24" s="11">
        <f>'23-24 Budget'!U24</f>
        <v>350</v>
      </c>
    </row>
    <row r="25" spans="1:5" x14ac:dyDescent="0.2">
      <c r="A25" s="18" t="s">
        <v>36</v>
      </c>
      <c r="C25" s="14">
        <f>'23-24 Acutals'!F25+'23-24 Acutals'!J25+'23-24 Acutals'!N25+'23-24 Acutals'!R25</f>
        <v>0</v>
      </c>
      <c r="E25" s="11">
        <f>'23-24 Budget'!U25</f>
        <v>1600</v>
      </c>
    </row>
    <row r="26" spans="1:5" x14ac:dyDescent="0.2">
      <c r="A26" s="18" t="s">
        <v>37</v>
      </c>
      <c r="C26" s="14">
        <f>'23-24 Acutals'!F26+'23-24 Acutals'!J26+'23-24 Acutals'!N26+'23-24 Acutals'!R26</f>
        <v>772.8</v>
      </c>
      <c r="E26" s="11">
        <f>'23-24 Budget'!U26</f>
        <v>14500</v>
      </c>
    </row>
    <row r="27" spans="1:5" x14ac:dyDescent="0.2">
      <c r="A27" s="18" t="s">
        <v>26</v>
      </c>
      <c r="C27" s="14">
        <f>'23-24 Acutals'!F27+'23-24 Acutals'!J27+'23-24 Acutals'!N27+'23-24 Acutals'!R27</f>
        <v>0</v>
      </c>
      <c r="E27" s="11">
        <f>'23-24 Budget'!U27</f>
        <v>1500</v>
      </c>
    </row>
    <row r="28" spans="1:5" x14ac:dyDescent="0.2">
      <c r="A28" s="18" t="s">
        <v>27</v>
      </c>
      <c r="C28" s="14">
        <f>'23-24 Acutals'!F28+'23-24 Acutals'!J28+'23-24 Acutals'!N28+'23-24 Acutals'!R28</f>
        <v>0</v>
      </c>
      <c r="E28" s="11">
        <f>'23-24 Budget'!U28</f>
        <v>1500</v>
      </c>
    </row>
    <row r="29" spans="1:5" x14ac:dyDescent="0.2">
      <c r="A29" s="18" t="s">
        <v>39</v>
      </c>
      <c r="C29" s="14">
        <f>'23-24 Acutals'!F29+'23-24 Acutals'!J29+'23-24 Acutals'!N29+'23-24 Acutals'!R29</f>
        <v>0</v>
      </c>
      <c r="E29" s="11">
        <f>'23-24 Budget'!U29</f>
        <v>3000</v>
      </c>
    </row>
    <row r="30" spans="1:5" x14ac:dyDescent="0.2">
      <c r="A30" s="18" t="s">
        <v>40</v>
      </c>
      <c r="C30" s="14">
        <f>'23-24 Acutals'!F30+'23-24 Acutals'!J30+'23-24 Acutals'!N30+'23-24 Acutals'!R30</f>
        <v>0</v>
      </c>
      <c r="E30" s="11">
        <f>'23-24 Budget'!U30</f>
        <v>11500</v>
      </c>
    </row>
    <row r="31" spans="1:5" x14ac:dyDescent="0.2">
      <c r="A31" s="18" t="s">
        <v>41</v>
      </c>
      <c r="C31" s="14">
        <f>'23-24 Acutals'!F31+'23-24 Acutals'!J31+'23-24 Acutals'!N31+'23-24 Acutals'!R31</f>
        <v>0</v>
      </c>
      <c r="E31" s="11">
        <f>'23-24 Budget'!U31</f>
        <v>0</v>
      </c>
    </row>
    <row r="32" spans="1:5" x14ac:dyDescent="0.2">
      <c r="A32" s="30" t="s">
        <v>8</v>
      </c>
      <c r="C32" s="2">
        <f t="shared" ref="C32" si="1">SUM(C22:C31)</f>
        <v>772.8</v>
      </c>
      <c r="E32" s="46">
        <f t="shared" ref="E32" si="2">SUM(E22:E31)</f>
        <v>49560</v>
      </c>
    </row>
    <row r="33" spans="1:5" x14ac:dyDescent="0.2">
      <c r="A33" s="31" t="s">
        <v>31</v>
      </c>
      <c r="B33" s="20"/>
      <c r="C33" s="21"/>
      <c r="E33" s="22"/>
    </row>
    <row r="34" spans="1:5" x14ac:dyDescent="0.2">
      <c r="A34" s="18" t="s">
        <v>18</v>
      </c>
      <c r="C34" s="14">
        <f>'23-24 Acutals'!F34+'23-24 Acutals'!J34+'23-24 Acutals'!N34+'23-24 Acutals'!R34</f>
        <v>204.85</v>
      </c>
      <c r="E34" s="11">
        <f>'23-24 Budget'!U34</f>
        <v>2250</v>
      </c>
    </row>
    <row r="35" spans="1:5" x14ac:dyDescent="0.2">
      <c r="A35" s="18" t="s">
        <v>7</v>
      </c>
      <c r="C35" s="14">
        <f>'23-24 Acutals'!F35+'23-24 Acutals'!J35+'23-24 Acutals'!N35+'23-24 Acutals'!R35</f>
        <v>0</v>
      </c>
      <c r="E35" s="11">
        <f>'23-24 Budget'!U35</f>
        <v>1300</v>
      </c>
    </row>
    <row r="36" spans="1:5" x14ac:dyDescent="0.2">
      <c r="A36" s="18" t="s">
        <v>32</v>
      </c>
      <c r="C36" s="14">
        <f>'23-24 Acutals'!F36+'23-24 Acutals'!J36+'23-24 Acutals'!N36+'23-24 Acutals'!R36</f>
        <v>0</v>
      </c>
      <c r="E36" s="11">
        <f>'23-24 Budget'!U36</f>
        <v>54</v>
      </c>
    </row>
    <row r="37" spans="1:5" x14ac:dyDescent="0.2">
      <c r="A37" s="18" t="s">
        <v>33</v>
      </c>
      <c r="C37" s="14">
        <f>'23-24 Acutals'!F37+'23-24 Acutals'!J37+'23-24 Acutals'!N37+'23-24 Acutals'!R37</f>
        <v>0</v>
      </c>
      <c r="E37" s="11">
        <f>'23-24 Budget'!U37</f>
        <v>0</v>
      </c>
    </row>
    <row r="38" spans="1:5" x14ac:dyDescent="0.2">
      <c r="A38" s="18" t="s">
        <v>38</v>
      </c>
      <c r="C38" s="14">
        <f>'23-24 Acutals'!F38+'23-24 Acutals'!J38+'23-24 Acutals'!N38+'23-24 Acutals'!R38</f>
        <v>0</v>
      </c>
      <c r="E38" s="11">
        <f>'23-24 Budget'!U38</f>
        <v>0</v>
      </c>
    </row>
    <row r="39" spans="1:5" x14ac:dyDescent="0.2">
      <c r="A39" s="18" t="s">
        <v>46</v>
      </c>
      <c r="C39" s="14">
        <f>'23-24 Acutals'!F39+'23-24 Acutals'!J39+'23-24 Acutals'!N39+'23-24 Acutals'!R39</f>
        <v>0</v>
      </c>
      <c r="E39" s="11">
        <f>'23-24 Budget'!U39</f>
        <v>500</v>
      </c>
    </row>
    <row r="40" spans="1:5" x14ac:dyDescent="0.2">
      <c r="A40" s="18" t="s">
        <v>47</v>
      </c>
      <c r="C40" s="14">
        <f>'23-24 Acutals'!F40+'23-24 Acutals'!J40+'23-24 Acutals'!N40+'23-24 Acutals'!R40</f>
        <v>0</v>
      </c>
      <c r="E40" s="11">
        <f>'23-24 Budget'!U40</f>
        <v>0</v>
      </c>
    </row>
    <row r="41" spans="1:5" x14ac:dyDescent="0.2">
      <c r="A41" s="30" t="s">
        <v>8</v>
      </c>
      <c r="C41" s="2">
        <f t="shared" ref="C41" si="3">SUM(C34:C40)</f>
        <v>204.85</v>
      </c>
      <c r="E41" s="45">
        <f t="shared" ref="E41" si="4">SUM(E34:E40)</f>
        <v>4104</v>
      </c>
    </row>
    <row r="42" spans="1:5" x14ac:dyDescent="0.2">
      <c r="A42" s="25" t="s">
        <v>42</v>
      </c>
      <c r="B42" s="20"/>
      <c r="C42" s="21"/>
      <c r="E42" s="22"/>
    </row>
    <row r="43" spans="1:5" x14ac:dyDescent="0.2">
      <c r="A43" s="18" t="s">
        <v>43</v>
      </c>
      <c r="C43" s="14">
        <f>'23-24 Acutals'!F43+'23-24 Acutals'!J43+'23-24 Acutals'!N43+'23-24 Acutals'!R43</f>
        <v>0</v>
      </c>
      <c r="E43" s="11">
        <f>'23-24 Budget'!U43</f>
        <v>15000</v>
      </c>
    </row>
    <row r="44" spans="1:5" x14ac:dyDescent="0.2">
      <c r="A44" s="18" t="s">
        <v>44</v>
      </c>
      <c r="C44" s="14">
        <f>'23-24 Acutals'!F44+'23-24 Acutals'!J44+'23-24 Acutals'!N44+'23-24 Acutals'!R44</f>
        <v>0</v>
      </c>
      <c r="E44" s="11">
        <f>'23-24 Budget'!U44</f>
        <v>7000</v>
      </c>
    </row>
    <row r="45" spans="1:5" x14ac:dyDescent="0.2">
      <c r="A45" s="18" t="s">
        <v>45</v>
      </c>
      <c r="C45" s="14">
        <f>'23-24 Acutals'!F45+'23-24 Acutals'!J45+'23-24 Acutals'!N45+'23-24 Acutals'!R45</f>
        <v>0</v>
      </c>
      <c r="E45" s="11">
        <f>'23-24 Budget'!U45</f>
        <v>0</v>
      </c>
    </row>
    <row r="46" spans="1:5" x14ac:dyDescent="0.2">
      <c r="A46" s="18" t="s">
        <v>48</v>
      </c>
      <c r="C46" s="14">
        <f>'23-24 Acutals'!F46+'23-24 Acutals'!J46+'23-24 Acutals'!N46+'23-24 Acutals'!R46</f>
        <v>20</v>
      </c>
      <c r="E46" s="11">
        <f>'23-24 Budget'!U46</f>
        <v>4000</v>
      </c>
    </row>
    <row r="47" spans="1:5" x14ac:dyDescent="0.2">
      <c r="A47" s="30" t="s">
        <v>8</v>
      </c>
      <c r="C47" s="2">
        <f t="shared" ref="C47" si="5">SUM(C43:C46)</f>
        <v>20</v>
      </c>
      <c r="E47" s="46">
        <f t="shared" ref="E47" si="6">SUM(E43:E46)</f>
        <v>26000</v>
      </c>
    </row>
    <row r="48" spans="1:5" x14ac:dyDescent="0.2">
      <c r="A48" s="25"/>
      <c r="B48" s="20"/>
      <c r="C48" s="21"/>
      <c r="E48" s="22"/>
    </row>
    <row r="49" spans="1:5" x14ac:dyDescent="0.2">
      <c r="A49" s="30" t="s">
        <v>62</v>
      </c>
      <c r="C49" s="1">
        <f>C32+C41+C47</f>
        <v>997.65</v>
      </c>
      <c r="E49" s="49">
        <f>E32+E41+E47</f>
        <v>79664</v>
      </c>
    </row>
    <row r="50" spans="1:5" x14ac:dyDescent="0.2">
      <c r="A50" s="36"/>
      <c r="C50" s="32"/>
      <c r="E50" s="49"/>
    </row>
    <row r="51" spans="1:5" x14ac:dyDescent="0.2">
      <c r="A51" s="30" t="s">
        <v>61</v>
      </c>
      <c r="C51" s="68">
        <f>C18-C49</f>
        <v>2903.68</v>
      </c>
      <c r="E51" s="70">
        <f>E18-E49</f>
        <v>8836</v>
      </c>
    </row>
    <row r="58" spans="1:5" x14ac:dyDescent="0.2">
      <c r="B58" s="55"/>
      <c r="C58" s="2"/>
    </row>
    <row r="59" spans="1:5" x14ac:dyDescent="0.2">
      <c r="B59" s="1"/>
    </row>
    <row r="60" spans="1:5" x14ac:dyDescent="0.2">
      <c r="A60" s="18"/>
      <c r="B60" s="1"/>
    </row>
    <row r="61" spans="1:5" x14ac:dyDescent="0.2">
      <c r="A61" s="18"/>
      <c r="B61" s="1"/>
    </row>
    <row r="62" spans="1:5" x14ac:dyDescent="0.2">
      <c r="A62" s="18"/>
      <c r="B62" s="1"/>
    </row>
    <row r="63" spans="1:5" x14ac:dyDescent="0.2">
      <c r="B63" s="1"/>
    </row>
    <row r="64" spans="1:5" x14ac:dyDescent="0.2">
      <c r="B64" s="52"/>
      <c r="C64" s="56"/>
    </row>
  </sheetData>
  <mergeCells count="3">
    <mergeCell ref="A2:B2"/>
    <mergeCell ref="A3:B3"/>
    <mergeCell ref="A4:C4"/>
  </mergeCells>
  <pageMargins left="0.7" right="0.7" top="0.75" bottom="0.75" header="0.3" footer="0.3"/>
  <pageSetup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23-24 Budget</vt:lpstr>
      <vt:lpstr>23-24 Acutals</vt:lpstr>
      <vt:lpstr>22-23 Actuals</vt:lpstr>
      <vt:lpstr>Comparison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djcaldwell</dc:creator>
  <cp:keywords/>
  <dc:description/>
  <cp:lastModifiedBy>Microsoft Office User</cp:lastModifiedBy>
  <cp:revision/>
  <cp:lastPrinted>2023-06-20T21:02:36Z</cp:lastPrinted>
  <dcterms:created xsi:type="dcterms:W3CDTF">2016-01-09T00:39:20Z</dcterms:created>
  <dcterms:modified xsi:type="dcterms:W3CDTF">2023-09-15T19:25:39Z</dcterms:modified>
  <cp:category/>
  <cp:contentStatus/>
</cp:coreProperties>
</file>